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PBM\Quality\SCALING\RY2020\"/>
    </mc:Choice>
  </mc:AlternateContent>
  <bookViews>
    <workbookView xWindow="0" yWindow="0" windowWidth="28800" windowHeight="13635"/>
  </bookViews>
  <sheets>
    <sheet name="Source Readmission Final" sheetId="1" r:id="rId1"/>
    <sheet name="Readmit Attainment" sheetId="2" r:id="rId2"/>
    <sheet name="RRIP Results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'Readmit Attainment'!$A$3:$H$3</definedName>
    <definedName name="_xlnm._FilterDatabase" localSheetId="2" hidden="1">'RRIP Results'!$A$3:$R$3</definedName>
    <definedName name="_xlnm._FilterDatabase" localSheetId="0" hidden="1">'Source Readmission Final'!$A$6:$Q$64</definedName>
    <definedName name="AttMaxPenaltyScore">'RRIP Results'!$C$70</definedName>
    <definedName name="AttMaxRewardScore">'RRIP Results'!$C$69</definedName>
    <definedName name="AttTarget">'RRIP Results'!$C$68</definedName>
    <definedName name="finally">[1]finally!$A$1:$AN$76</definedName>
    <definedName name="ImpMaxPenaltyScore">'RRIP Results'!$C$67</definedName>
    <definedName name="ImpMaxRewardScore">'RRIP Results'!$C$66</definedName>
    <definedName name="imptab17fr2">[1]imptab17fr2!$A$1:$AN$76</definedName>
    <definedName name="ImpTarget">'RRIP Results'!$C$65</definedName>
    <definedName name="low">'[2]5.QBR Scaling '!$B$4</definedName>
    <definedName name="MaxPenalty">'RRIP Results'!$C$63</definedName>
    <definedName name="MaxReward">'RRIP Results'!$C$62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QBR_Highest_Score">[3]QBR!$J$4</definedName>
    <definedName name="QBR_Lowest_Score">[3]QBR!$J$2</definedName>
    <definedName name="QBR_Max_Penalty">[3]QBR!$J$3</definedName>
    <definedName name="QBR_Max_Reward">[3]QBR!$J$5</definedName>
    <definedName name="QBR_Penalty_Threshold">[3]QBR!$J$6</definedName>
    <definedName name="rfbn_table">[1]rfbn_table!$A$1:$H$53</definedName>
    <definedName name="rfbnout">[1]rfbnout!$A$1:$K$53</definedName>
    <definedName name="RRIP_Att_MaxPenalty">#REF!</definedName>
    <definedName name="RRIP_Att_MaxPenaltyRate">#REF!</definedName>
    <definedName name="RRIP_Att_MaxRewardRate">#REF!</definedName>
    <definedName name="RRIP_Att_Reward">#REF!</definedName>
    <definedName name="RRIP_AttPenaltyOverUnder">#REF!</definedName>
    <definedName name="RRIP_AttRewardOverUnder">#REF!</definedName>
    <definedName name="RRIP_Imp_MaxPenalty">#REF!</definedName>
    <definedName name="RRIP_Imp_MaxPenaltyOverUnder">#REF!</definedName>
    <definedName name="RRIP_Imp_MaxPenaltyRate">#REF!</definedName>
    <definedName name="RRIP_Imp_MaxReward">#REF!</definedName>
    <definedName name="RRIP_Imp_MaxRewardOverUnder">#REF!</definedName>
    <definedName name="RRIP_Imp_MaxRewardRate">#REF!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2" l="1"/>
  <c r="E53" i="2"/>
  <c r="F6" i="2"/>
  <c r="G6" i="2" s="1"/>
  <c r="H6" i="4"/>
  <c r="G6" i="4"/>
  <c r="F6" i="4"/>
  <c r="E6" i="4"/>
  <c r="D6" i="4"/>
  <c r="M69" i="1"/>
  <c r="N69" i="1" s="1"/>
  <c r="O69" i="1" s="1"/>
  <c r="Q69" i="1" s="1"/>
  <c r="L69" i="1"/>
  <c r="J69" i="1"/>
  <c r="K69" i="1" s="1"/>
  <c r="I69" i="1"/>
  <c r="F69" i="1"/>
  <c r="E69" i="1"/>
  <c r="D69" i="1"/>
  <c r="G69" i="1" s="1"/>
  <c r="H69" i="1" s="1"/>
  <c r="C69" i="1"/>
  <c r="G53" i="2" l="1"/>
  <c r="L6" i="4" s="1"/>
  <c r="G51" i="2"/>
  <c r="F51" i="2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G35" i="2"/>
  <c r="F35" i="2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5" i="2"/>
  <c r="G5" i="2" s="1"/>
  <c r="F4" i="2"/>
  <c r="G4" i="2" s="1"/>
  <c r="I51" i="4" l="1"/>
  <c r="C5" i="4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3" i="4"/>
  <c r="C44" i="4"/>
  <c r="C45" i="4"/>
  <c r="C46" i="4"/>
  <c r="C47" i="4"/>
  <c r="C48" i="4"/>
  <c r="C49" i="4"/>
  <c r="C50" i="4"/>
  <c r="C51" i="4"/>
  <c r="C4" i="4"/>
  <c r="C53" i="4" l="1"/>
  <c r="M5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3" i="4"/>
  <c r="M44" i="4"/>
  <c r="M45" i="4"/>
  <c r="M46" i="4"/>
  <c r="M47" i="4"/>
  <c r="M48" i="4"/>
  <c r="M49" i="4"/>
  <c r="M50" i="4"/>
  <c r="M51" i="4"/>
  <c r="M4" i="4"/>
  <c r="L48" i="4" l="1"/>
  <c r="N48" i="4" s="1"/>
  <c r="O48" i="4" s="1"/>
  <c r="L44" i="4"/>
  <c r="N44" i="4" s="1"/>
  <c r="O44" i="4" s="1"/>
  <c r="L40" i="4"/>
  <c r="N40" i="4" s="1"/>
  <c r="O40" i="4" s="1"/>
  <c r="L32" i="4"/>
  <c r="N32" i="4" s="1"/>
  <c r="O32" i="4" s="1"/>
  <c r="L28" i="4"/>
  <c r="N28" i="4" s="1"/>
  <c r="O28" i="4" s="1"/>
  <c r="L20" i="4"/>
  <c r="N20" i="4" s="1"/>
  <c r="O20" i="4" s="1"/>
  <c r="L16" i="4"/>
  <c r="N16" i="4" s="1"/>
  <c r="O16" i="4" s="1"/>
  <c r="L8" i="4"/>
  <c r="N8" i="4" s="1"/>
  <c r="O8" i="4" s="1"/>
  <c r="D51" i="4"/>
  <c r="J6" i="4"/>
  <c r="H8" i="4"/>
  <c r="J8" i="4" s="1"/>
  <c r="K8" i="4" s="1"/>
  <c r="H10" i="4"/>
  <c r="J10" i="4" s="1"/>
  <c r="K10" i="4" s="1"/>
  <c r="H12" i="4"/>
  <c r="H14" i="4"/>
  <c r="J14" i="4" s="1"/>
  <c r="H16" i="4"/>
  <c r="J16" i="4" s="1"/>
  <c r="K16" i="4" s="1"/>
  <c r="H18" i="4"/>
  <c r="J18" i="4" s="1"/>
  <c r="K18" i="4" s="1"/>
  <c r="H20" i="4"/>
  <c r="J20" i="4" s="1"/>
  <c r="K20" i="4" s="1"/>
  <c r="H22" i="4"/>
  <c r="J22" i="4" s="1"/>
  <c r="H24" i="4"/>
  <c r="J24" i="4" s="1"/>
  <c r="K24" i="4" s="1"/>
  <c r="H26" i="4"/>
  <c r="J26" i="4" s="1"/>
  <c r="K26" i="4" s="1"/>
  <c r="H28" i="4"/>
  <c r="J28" i="4" s="1"/>
  <c r="K28" i="4" s="1"/>
  <c r="H30" i="4"/>
  <c r="J30" i="4" s="1"/>
  <c r="H32" i="4"/>
  <c r="J32" i="4" s="1"/>
  <c r="K32" i="4" s="1"/>
  <c r="H34" i="4"/>
  <c r="J34" i="4" s="1"/>
  <c r="K34" i="4" s="1"/>
  <c r="H36" i="4"/>
  <c r="J36" i="4" s="1"/>
  <c r="K36" i="4" s="1"/>
  <c r="H38" i="4"/>
  <c r="J38" i="4" s="1"/>
  <c r="K38" i="4" s="1"/>
  <c r="H40" i="4"/>
  <c r="J40" i="4" s="1"/>
  <c r="K40" i="4" s="1"/>
  <c r="H44" i="4"/>
  <c r="J44" i="4" s="1"/>
  <c r="K44" i="4" s="1"/>
  <c r="H46" i="4"/>
  <c r="J46" i="4" s="1"/>
  <c r="H48" i="4"/>
  <c r="J48" i="4" s="1"/>
  <c r="K48" i="4" s="1"/>
  <c r="H50" i="4"/>
  <c r="J50" i="4" s="1"/>
  <c r="K50" i="4" s="1"/>
  <c r="H51" i="4"/>
  <c r="H49" i="4"/>
  <c r="J49" i="4" s="1"/>
  <c r="K49" i="4" s="1"/>
  <c r="H47" i="4"/>
  <c r="J47" i="4" s="1"/>
  <c r="K47" i="4" s="1"/>
  <c r="H45" i="4"/>
  <c r="J45" i="4" s="1"/>
  <c r="K45" i="4" s="1"/>
  <c r="H43" i="4"/>
  <c r="J43" i="4" s="1"/>
  <c r="H41" i="4"/>
  <c r="J41" i="4" s="1"/>
  <c r="K41" i="4" s="1"/>
  <c r="H39" i="4"/>
  <c r="J39" i="4" s="1"/>
  <c r="K39" i="4" s="1"/>
  <c r="H37" i="4"/>
  <c r="J37" i="4" s="1"/>
  <c r="H35" i="4"/>
  <c r="J35" i="4" s="1"/>
  <c r="K35" i="4" s="1"/>
  <c r="H33" i="4"/>
  <c r="J33" i="4" s="1"/>
  <c r="H31" i="4"/>
  <c r="J31" i="4" s="1"/>
  <c r="K31" i="4" s="1"/>
  <c r="H29" i="4"/>
  <c r="J29" i="4" s="1"/>
  <c r="K29" i="4" s="1"/>
  <c r="H27" i="4"/>
  <c r="J27" i="4" s="1"/>
  <c r="K27" i="4" s="1"/>
  <c r="H25" i="4"/>
  <c r="J25" i="4" s="1"/>
  <c r="H23" i="4"/>
  <c r="J23" i="4" s="1"/>
  <c r="K23" i="4" s="1"/>
  <c r="H21" i="4"/>
  <c r="J21" i="4" s="1"/>
  <c r="H19" i="4"/>
  <c r="J19" i="4" s="1"/>
  <c r="K19" i="4" s="1"/>
  <c r="H17" i="4"/>
  <c r="J17" i="4" s="1"/>
  <c r="H15" i="4"/>
  <c r="J15" i="4" s="1"/>
  <c r="K15" i="4" s="1"/>
  <c r="H13" i="4"/>
  <c r="J13" i="4" s="1"/>
  <c r="K13" i="4" s="1"/>
  <c r="H11" i="4"/>
  <c r="J11" i="4" s="1"/>
  <c r="K11" i="4" s="1"/>
  <c r="H9" i="4"/>
  <c r="J9" i="4" s="1"/>
  <c r="H7" i="4"/>
  <c r="J7" i="4" s="1"/>
  <c r="K7" i="4" s="1"/>
  <c r="H5" i="4"/>
  <c r="J5" i="4" s="1"/>
  <c r="H4" i="4"/>
  <c r="J4" i="4" s="1"/>
  <c r="K4" i="4" s="1"/>
  <c r="L11" i="4"/>
  <c r="N11" i="4" s="1"/>
  <c r="O11" i="4" s="1"/>
  <c r="L5" i="4"/>
  <c r="N5" i="4" s="1"/>
  <c r="O5" i="4" s="1"/>
  <c r="L26" i="4"/>
  <c r="N26" i="4" s="1"/>
  <c r="O26" i="4" s="1"/>
  <c r="L21" i="4"/>
  <c r="N21" i="4" s="1"/>
  <c r="O21" i="4" s="1"/>
  <c r="N6" i="4"/>
  <c r="O6" i="4" s="1"/>
  <c r="L4" i="4"/>
  <c r="N4" i="4" s="1"/>
  <c r="O4" i="4" s="1"/>
  <c r="L30" i="4"/>
  <c r="N30" i="4" s="1"/>
  <c r="O30" i="4" s="1"/>
  <c r="L51" i="4"/>
  <c r="N51" i="4" s="1"/>
  <c r="O51" i="4" s="1"/>
  <c r="L19" i="4"/>
  <c r="N19" i="4" s="1"/>
  <c r="O19" i="4" s="1"/>
  <c r="L29" i="4"/>
  <c r="N29" i="4" s="1"/>
  <c r="O29" i="4" s="1"/>
  <c r="L33" i="4"/>
  <c r="N33" i="4" s="1"/>
  <c r="O33" i="4" s="1"/>
  <c r="L12" i="4"/>
  <c r="N12" i="4" s="1"/>
  <c r="O12" i="4" s="1"/>
  <c r="L9" i="4"/>
  <c r="N9" i="4" s="1"/>
  <c r="O9" i="4" s="1"/>
  <c r="L22" i="4"/>
  <c r="N22" i="4" s="1"/>
  <c r="O22" i="4" s="1"/>
  <c r="L41" i="4"/>
  <c r="N41" i="4" s="1"/>
  <c r="O41" i="4" s="1"/>
  <c r="L38" i="4"/>
  <c r="N38" i="4" s="1"/>
  <c r="O38" i="4" s="1"/>
  <c r="L24" i="4"/>
  <c r="N24" i="4" s="1"/>
  <c r="O24" i="4" s="1"/>
  <c r="L47" i="4"/>
  <c r="N47" i="4" s="1"/>
  <c r="O47" i="4" s="1"/>
  <c r="L45" i="4"/>
  <c r="N45" i="4" s="1"/>
  <c r="O45" i="4" s="1"/>
  <c r="L27" i="4"/>
  <c r="N27" i="4" s="1"/>
  <c r="O27" i="4" s="1"/>
  <c r="L39" i="4"/>
  <c r="N39" i="4" s="1"/>
  <c r="O39" i="4" s="1"/>
  <c r="L25" i="4"/>
  <c r="N25" i="4" s="1"/>
  <c r="O25" i="4" s="1"/>
  <c r="L46" i="4"/>
  <c r="N46" i="4" s="1"/>
  <c r="O46" i="4" s="1"/>
  <c r="L23" i="4"/>
  <c r="N23" i="4" s="1"/>
  <c r="O23" i="4" s="1"/>
  <c r="L18" i="4"/>
  <c r="N18" i="4" s="1"/>
  <c r="O18" i="4" s="1"/>
  <c r="L31" i="4"/>
  <c r="N31" i="4" s="1"/>
  <c r="O31" i="4" s="1"/>
  <c r="L13" i="4"/>
  <c r="N13" i="4" s="1"/>
  <c r="O13" i="4" s="1"/>
  <c r="L17" i="4"/>
  <c r="N17" i="4" s="1"/>
  <c r="O17" i="4" s="1"/>
  <c r="L43" i="4"/>
  <c r="N43" i="4" s="1"/>
  <c r="O43" i="4" s="1"/>
  <c r="L10" i="4"/>
  <c r="N10" i="4" s="1"/>
  <c r="O10" i="4" s="1"/>
  <c r="L50" i="4"/>
  <c r="N50" i="4" s="1"/>
  <c r="O50" i="4" s="1"/>
  <c r="L15" i="4"/>
  <c r="N15" i="4" s="1"/>
  <c r="O15" i="4" s="1"/>
  <c r="L34" i="4"/>
  <c r="N34" i="4" s="1"/>
  <c r="O34" i="4" s="1"/>
  <c r="L37" i="4"/>
  <c r="N37" i="4" s="1"/>
  <c r="O37" i="4" s="1"/>
  <c r="L36" i="4"/>
  <c r="N36" i="4" s="1"/>
  <c r="O36" i="4" s="1"/>
  <c r="L49" i="4"/>
  <c r="N49" i="4" s="1"/>
  <c r="O49" i="4" s="1"/>
  <c r="L35" i="4"/>
  <c r="N35" i="4" s="1"/>
  <c r="O35" i="4" s="1"/>
  <c r="L14" i="4"/>
  <c r="N14" i="4" s="1"/>
  <c r="O14" i="4" s="1"/>
  <c r="L7" i="4"/>
  <c r="N7" i="4" s="1"/>
  <c r="O7" i="4" s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3" i="4"/>
  <c r="I44" i="4"/>
  <c r="I45" i="4"/>
  <c r="I46" i="4"/>
  <c r="I47" i="4"/>
  <c r="I48" i="4"/>
  <c r="I49" i="4"/>
  <c r="I50" i="4"/>
  <c r="I4" i="4"/>
  <c r="G51" i="4"/>
  <c r="J51" i="4" s="1"/>
  <c r="F51" i="4"/>
  <c r="E51" i="4"/>
  <c r="G50" i="4"/>
  <c r="F50" i="4"/>
  <c r="E50" i="4"/>
  <c r="D50" i="4"/>
  <c r="G49" i="4"/>
  <c r="F49" i="4"/>
  <c r="E49" i="4"/>
  <c r="D49" i="4"/>
  <c r="G48" i="4"/>
  <c r="F48" i="4"/>
  <c r="E48" i="4"/>
  <c r="D48" i="4"/>
  <c r="G47" i="4"/>
  <c r="F47" i="4"/>
  <c r="E47" i="4"/>
  <c r="D47" i="4"/>
  <c r="G46" i="4"/>
  <c r="F46" i="4"/>
  <c r="E46" i="4"/>
  <c r="D46" i="4"/>
  <c r="G45" i="4"/>
  <c r="F45" i="4"/>
  <c r="E45" i="4"/>
  <c r="D45" i="4"/>
  <c r="G44" i="4"/>
  <c r="F44" i="4"/>
  <c r="E44" i="4"/>
  <c r="D44" i="4"/>
  <c r="G43" i="4"/>
  <c r="F43" i="4"/>
  <c r="E43" i="4"/>
  <c r="D43" i="4"/>
  <c r="G41" i="4"/>
  <c r="F41" i="4"/>
  <c r="E41" i="4"/>
  <c r="D41" i="4"/>
  <c r="G40" i="4"/>
  <c r="F40" i="4"/>
  <c r="E40" i="4"/>
  <c r="D40" i="4"/>
  <c r="G39" i="4"/>
  <c r="F39" i="4"/>
  <c r="E39" i="4"/>
  <c r="D39" i="4"/>
  <c r="G38" i="4"/>
  <c r="F38" i="4"/>
  <c r="E38" i="4"/>
  <c r="D38" i="4"/>
  <c r="G37" i="4"/>
  <c r="F37" i="4"/>
  <c r="E37" i="4"/>
  <c r="D37" i="4"/>
  <c r="G36" i="4"/>
  <c r="F36" i="4"/>
  <c r="E36" i="4"/>
  <c r="D36" i="4"/>
  <c r="G35" i="4"/>
  <c r="F35" i="4"/>
  <c r="E35" i="4"/>
  <c r="D35" i="4"/>
  <c r="G34" i="4"/>
  <c r="F34" i="4"/>
  <c r="E34" i="4"/>
  <c r="D34" i="4"/>
  <c r="G33" i="4"/>
  <c r="F33" i="4"/>
  <c r="E33" i="4"/>
  <c r="D33" i="4"/>
  <c r="G32" i="4"/>
  <c r="F32" i="4"/>
  <c r="E32" i="4"/>
  <c r="D32" i="4"/>
  <c r="G31" i="4"/>
  <c r="F31" i="4"/>
  <c r="E31" i="4"/>
  <c r="D31" i="4"/>
  <c r="G30" i="4"/>
  <c r="F30" i="4"/>
  <c r="E30" i="4"/>
  <c r="D30" i="4"/>
  <c r="G29" i="4"/>
  <c r="F29" i="4"/>
  <c r="E29" i="4"/>
  <c r="D29" i="4"/>
  <c r="G28" i="4"/>
  <c r="F28" i="4"/>
  <c r="E28" i="4"/>
  <c r="D28" i="4"/>
  <c r="G27" i="4"/>
  <c r="F27" i="4"/>
  <c r="E27" i="4"/>
  <c r="D27" i="4"/>
  <c r="G26" i="4"/>
  <c r="F26" i="4"/>
  <c r="E26" i="4"/>
  <c r="D26" i="4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21" i="4"/>
  <c r="F21" i="4"/>
  <c r="E21" i="4"/>
  <c r="D21" i="4"/>
  <c r="G20" i="4"/>
  <c r="F20" i="4"/>
  <c r="E20" i="4"/>
  <c r="D20" i="4"/>
  <c r="G19" i="4"/>
  <c r="F19" i="4"/>
  <c r="E19" i="4"/>
  <c r="D19" i="4"/>
  <c r="G18" i="4"/>
  <c r="F18" i="4"/>
  <c r="E18" i="4"/>
  <c r="D18" i="4"/>
  <c r="G17" i="4"/>
  <c r="F17" i="4"/>
  <c r="E17" i="4"/>
  <c r="D17" i="4"/>
  <c r="G16" i="4"/>
  <c r="F16" i="4"/>
  <c r="E16" i="4"/>
  <c r="D16" i="4"/>
  <c r="G15" i="4"/>
  <c r="F15" i="4"/>
  <c r="E15" i="4"/>
  <c r="D15" i="4"/>
  <c r="G14" i="4"/>
  <c r="F14" i="4"/>
  <c r="E14" i="4"/>
  <c r="D14" i="4"/>
  <c r="G13" i="4"/>
  <c r="F13" i="4"/>
  <c r="E13" i="4"/>
  <c r="D13" i="4"/>
  <c r="G12" i="4"/>
  <c r="F12" i="4"/>
  <c r="E12" i="4"/>
  <c r="D12" i="4"/>
  <c r="G11" i="4"/>
  <c r="F11" i="4"/>
  <c r="E11" i="4"/>
  <c r="D11" i="4"/>
  <c r="G10" i="4"/>
  <c r="F10" i="4"/>
  <c r="E10" i="4"/>
  <c r="D10" i="4"/>
  <c r="G9" i="4"/>
  <c r="F9" i="4"/>
  <c r="E9" i="4"/>
  <c r="D9" i="4"/>
  <c r="G8" i="4"/>
  <c r="F8" i="4"/>
  <c r="E8" i="4"/>
  <c r="D8" i="4"/>
  <c r="G7" i="4"/>
  <c r="F7" i="4"/>
  <c r="E7" i="4"/>
  <c r="D7" i="4"/>
  <c r="G5" i="4"/>
  <c r="F5" i="4"/>
  <c r="E5" i="4"/>
  <c r="D5" i="4"/>
  <c r="G4" i="4"/>
  <c r="F4" i="4"/>
  <c r="E4" i="4"/>
  <c r="D4" i="4"/>
  <c r="J12" i="4"/>
  <c r="K12" i="4" s="1"/>
  <c r="O53" i="4" l="1"/>
  <c r="K51" i="4"/>
  <c r="P44" i="4"/>
  <c r="R44" i="4" s="1"/>
  <c r="P8" i="4"/>
  <c r="P16" i="4"/>
  <c r="P7" i="4"/>
  <c r="P32" i="4"/>
  <c r="P20" i="4"/>
  <c r="P12" i="4"/>
  <c r="P47" i="4"/>
  <c r="P15" i="4"/>
  <c r="P18" i="4"/>
  <c r="P27" i="4"/>
  <c r="P38" i="4"/>
  <c r="P23" i="4"/>
  <c r="P49" i="4"/>
  <c r="P4" i="4"/>
  <c r="P35" i="4"/>
  <c r="P10" i="4"/>
  <c r="P41" i="4"/>
  <c r="P45" i="4"/>
  <c r="P11" i="4"/>
  <c r="P24" i="4"/>
  <c r="P19" i="4"/>
  <c r="P28" i="4"/>
  <c r="P36" i="4"/>
  <c r="P31" i="4"/>
  <c r="P26" i="4"/>
  <c r="P50" i="4"/>
  <c r="P29" i="4"/>
  <c r="P13" i="4"/>
  <c r="P40" i="4"/>
  <c r="K33" i="4"/>
  <c r="P33" i="4" s="1"/>
  <c r="K17" i="4"/>
  <c r="P17" i="4" s="1"/>
  <c r="K46" i="4"/>
  <c r="P46" i="4" s="1"/>
  <c r="K21" i="4"/>
  <c r="P21" i="4" s="1"/>
  <c r="P39" i="4"/>
  <c r="K37" i="4"/>
  <c r="K9" i="4"/>
  <c r="K5" i="4"/>
  <c r="P48" i="4"/>
  <c r="P34" i="4"/>
  <c r="K25" i="4"/>
  <c r="P25" i="4" s="1"/>
  <c r="K43" i="4"/>
  <c r="K30" i="4"/>
  <c r="K22" i="4"/>
  <c r="K14" i="4"/>
  <c r="K6" i="4"/>
  <c r="R35" i="4" l="1"/>
  <c r="R38" i="4"/>
  <c r="Q47" i="4"/>
  <c r="R7" i="4"/>
  <c r="Q26" i="4"/>
  <c r="Q45" i="4"/>
  <c r="R27" i="4"/>
  <c r="Q12" i="4"/>
  <c r="Q24" i="4"/>
  <c r="Q41" i="4"/>
  <c r="Q49" i="4"/>
  <c r="Q18" i="4"/>
  <c r="R20" i="4"/>
  <c r="R8" i="4"/>
  <c r="Q50" i="4"/>
  <c r="R28" i="4"/>
  <c r="R4" i="4"/>
  <c r="R16" i="4"/>
  <c r="Q10" i="4"/>
  <c r="R23" i="4"/>
  <c r="Q15" i="4"/>
  <c r="R32" i="4"/>
  <c r="Q44" i="4"/>
  <c r="Q32" i="4"/>
  <c r="R15" i="4"/>
  <c r="Q27" i="4"/>
  <c r="Q16" i="4"/>
  <c r="R12" i="4"/>
  <c r="R47" i="4"/>
  <c r="Q20" i="4"/>
  <c r="Q8" i="4"/>
  <c r="Q7" i="4"/>
  <c r="R26" i="4"/>
  <c r="R41" i="4"/>
  <c r="R49" i="4"/>
  <c r="Q38" i="4"/>
  <c r="R18" i="4"/>
  <c r="Q28" i="4"/>
  <c r="R45" i="4"/>
  <c r="Q4" i="4"/>
  <c r="R10" i="4"/>
  <c r="Q35" i="4"/>
  <c r="O55" i="4"/>
  <c r="P37" i="4"/>
  <c r="Q23" i="4"/>
  <c r="R24" i="4"/>
  <c r="R50" i="4"/>
  <c r="R11" i="4"/>
  <c r="Q11" i="4"/>
  <c r="P6" i="4"/>
  <c r="P22" i="4"/>
  <c r="P43" i="4"/>
  <c r="Q31" i="4"/>
  <c r="R31" i="4"/>
  <c r="Q19" i="4"/>
  <c r="R19" i="4"/>
  <c r="R36" i="4"/>
  <c r="Q36" i="4"/>
  <c r="O54" i="4"/>
  <c r="P9" i="4"/>
  <c r="Q48" i="4"/>
  <c r="R48" i="4"/>
  <c r="R33" i="4"/>
  <c r="Q33" i="4"/>
  <c r="R29" i="4"/>
  <c r="Q29" i="4"/>
  <c r="P14" i="4"/>
  <c r="P30" i="4"/>
  <c r="Q25" i="4"/>
  <c r="R25" i="4"/>
  <c r="P5" i="4"/>
  <c r="Q17" i="4"/>
  <c r="R17" i="4"/>
  <c r="R40" i="4"/>
  <c r="Q40" i="4"/>
  <c r="R34" i="4"/>
  <c r="Q34" i="4"/>
  <c r="Q39" i="4"/>
  <c r="R39" i="4"/>
  <c r="Q46" i="4"/>
  <c r="R46" i="4"/>
  <c r="R13" i="4"/>
  <c r="Q13" i="4"/>
  <c r="R21" i="4"/>
  <c r="Q21" i="4"/>
  <c r="R9" i="4" l="1"/>
  <c r="Q22" i="4"/>
  <c r="R43" i="4"/>
  <c r="R37" i="4"/>
  <c r="R6" i="4"/>
  <c r="Q43" i="4"/>
  <c r="Q37" i="4"/>
  <c r="R22" i="4"/>
  <c r="Q6" i="4"/>
  <c r="Q9" i="4"/>
  <c r="Q14" i="4"/>
  <c r="R14" i="4"/>
  <c r="R5" i="4"/>
  <c r="Q5" i="4"/>
  <c r="Q30" i="4"/>
  <c r="R30" i="4"/>
  <c r="P51" i="4" l="1"/>
  <c r="K55" i="4"/>
  <c r="K54" i="4"/>
  <c r="K53" i="4"/>
  <c r="R51" i="4" l="1"/>
  <c r="Q51" i="4"/>
  <c r="P53" i="4"/>
  <c r="P55" i="4"/>
  <c r="P54" i="4"/>
</calcChain>
</file>

<file path=xl/sharedStrings.xml><?xml version="1.0" encoding="utf-8"?>
<sst xmlns="http://schemas.openxmlformats.org/spreadsheetml/2006/main" count="255" uniqueCount="238">
  <si>
    <t>A</t>
  </si>
  <si>
    <t>B</t>
  </si>
  <si>
    <t>C</t>
  </si>
  <si>
    <t>D</t>
  </si>
  <si>
    <t>E = D/C</t>
  </si>
  <si>
    <t>F</t>
  </si>
  <si>
    <t>G = D/F</t>
  </si>
  <si>
    <t>I</t>
  </si>
  <si>
    <t>J</t>
  </si>
  <si>
    <t>K = J/I</t>
  </si>
  <si>
    <t>L</t>
  </si>
  <si>
    <t>M = J/L</t>
  </si>
  <si>
    <t>O = N/H - 1</t>
  </si>
  <si>
    <t>P</t>
  </si>
  <si>
    <t>Hospital ID</t>
  </si>
  <si>
    <t>Total Number of Inpatient Discharges</t>
  </si>
  <si>
    <t>Total Number of Readmissions</t>
  </si>
  <si>
    <t>Percent Readmissions</t>
  </si>
  <si>
    <t>Total Number of Expected Readmissions</t>
  </si>
  <si>
    <t>Readmission Ratio</t>
  </si>
  <si>
    <t>Case-Mix Adjusted Readmission Rate</t>
  </si>
  <si>
    <t>RY 2018 % Change</t>
  </si>
  <si>
    <t>Johns Hopkins</t>
  </si>
  <si>
    <t>Bon Secours</t>
  </si>
  <si>
    <t>Washington Adventist</t>
  </si>
  <si>
    <t>Union of Cecil</t>
  </si>
  <si>
    <t>McCready</t>
  </si>
  <si>
    <t>Atlantic General</t>
  </si>
  <si>
    <t>Levindale</t>
  </si>
  <si>
    <t xml:space="preserve"> </t>
  </si>
  <si>
    <t>STATEWIDE</t>
  </si>
  <si>
    <t>Footnotes:</t>
  </si>
  <si>
    <t>Total Number of Inpatient Discharges is the total number of discharges that are eligible for a readmission and not necessarily total discharges.</t>
  </si>
  <si>
    <t>Total Number of Readmissions is the number of readmissions after all adjustments, including removal of planned admissions.</t>
  </si>
  <si>
    <t>Users who manually calculate percentage calculations in Excel may find slight discrepancies due to rounding differences.</t>
  </si>
  <si>
    <t>The APR-DRG variable for cases with a daily type of service of rehabilitation are recoded to APR-DRG 860 Rehabilitation or type of Daily Service = 08 (Rehab).</t>
  </si>
  <si>
    <t>Holy Cross Germantown will be measured on attainment and 1-year improvement only.</t>
  </si>
  <si>
    <t>Out-of-State Readmission Ratios for RRIP Attainment</t>
  </si>
  <si>
    <t>HospName</t>
  </si>
  <si>
    <t xml:space="preserve"> MD Readmission Rate</t>
  </si>
  <si>
    <t>Out-of-State (OOS) Ratio</t>
  </si>
  <si>
    <t>Notes</t>
  </si>
  <si>
    <t>MERITUS</t>
  </si>
  <si>
    <t>HOLY CROSS</t>
  </si>
  <si>
    <t>MERCY</t>
  </si>
  <si>
    <t>JOHNS HOPKINS</t>
  </si>
  <si>
    <t>ST. AGNES</t>
  </si>
  <si>
    <t>SINAI</t>
  </si>
  <si>
    <t>BON SECOURS</t>
  </si>
  <si>
    <t>SUBURBAN</t>
  </si>
  <si>
    <t>UMMC MIDTOWN</t>
  </si>
  <si>
    <t>CALVERT</t>
  </si>
  <si>
    <t>NORTHWEST</t>
  </si>
  <si>
    <t>G.B.M.C.</t>
  </si>
  <si>
    <t>MCCREADY</t>
  </si>
  <si>
    <t>HOWARD COUNTY</t>
  </si>
  <si>
    <t>SHADY GROVE</t>
  </si>
  <si>
    <t>FT. WASHINGTON</t>
  </si>
  <si>
    <t>ATLANTIC GENERAL</t>
  </si>
  <si>
    <t>UM ST. JOSEPH</t>
  </si>
  <si>
    <t>LEVINDALE</t>
  </si>
  <si>
    <t>Improvement Scaling</t>
  </si>
  <si>
    <t>Attainment Scaling</t>
  </si>
  <si>
    <t>Final Adjustment</t>
  </si>
  <si>
    <t>HOSPITAL ID</t>
  </si>
  <si>
    <t>HOSPITAL NAME</t>
  </si>
  <si>
    <t>Penalty</t>
  </si>
  <si>
    <t>Reward</t>
  </si>
  <si>
    <t>Percentages have been rounded for display. Final scaling values are rounded to two decimal places.</t>
  </si>
  <si>
    <t>MaxReward</t>
  </si>
  <si>
    <t>MaxPenalty</t>
  </si>
  <si>
    <t>ImpMaxRewardScore</t>
  </si>
  <si>
    <t>ImpMaxPenaltyScore</t>
  </si>
  <si>
    <t>AttMaxRewardScore</t>
  </si>
  <si>
    <t>AttMaxPenaltyScore</t>
  </si>
  <si>
    <t>ImpTarget</t>
  </si>
  <si>
    <t>AttTarget</t>
  </si>
  <si>
    <t>210001 - MERITUS</t>
  </si>
  <si>
    <t>210002 - UNIVERSITY OF MARYLAND</t>
  </si>
  <si>
    <t>210003 - PRINCE GEORGE</t>
  </si>
  <si>
    <t>210004 - HOLY CROSS</t>
  </si>
  <si>
    <t>210005 - FREDERICK MEMORIAL</t>
  </si>
  <si>
    <t>210006 - HARFORD</t>
  </si>
  <si>
    <t>210008 - MERCY</t>
  </si>
  <si>
    <t>210009 - JOHNS HOPKINS</t>
  </si>
  <si>
    <t>210010 - DORCHESTER</t>
  </si>
  <si>
    <t>210011 - ST. AGNES</t>
  </si>
  <si>
    <t>210012 - SINAI</t>
  </si>
  <si>
    <t>210013 - BON SECOURS</t>
  </si>
  <si>
    <t>210015 - FRANKLIN SQUARE</t>
  </si>
  <si>
    <t>210016 - WASHINGTON ADVENTIST</t>
  </si>
  <si>
    <t>210017 - GARRETT COUNTY</t>
  </si>
  <si>
    <t>210018 - MONTGOMERY GENERAL</t>
  </si>
  <si>
    <t>210019 - PENINSULA REGIONAL</t>
  </si>
  <si>
    <t>210022 - SUBURBAN</t>
  </si>
  <si>
    <t>210023 - ANNE ARUNDEL</t>
  </si>
  <si>
    <t>210024 - UNION MEMORIAL</t>
  </si>
  <si>
    <t>210027 - WESTERN MARYLAND HEALTH SYSTEM</t>
  </si>
  <si>
    <t>210028 - ST. MARY</t>
  </si>
  <si>
    <t>210029 - HOPKINS BAYVIEW MED CTR</t>
  </si>
  <si>
    <t>210030 - CHESTERTOWN</t>
  </si>
  <si>
    <t>210032 - UNION HOSPITAL OF CECIL COUNT</t>
  </si>
  <si>
    <t>210033 - CARROLL COUNTY</t>
  </si>
  <si>
    <t>210034 - HARBOR</t>
  </si>
  <si>
    <t>210035 - CHARLES REGIONAL</t>
  </si>
  <si>
    <t>210037 - EASTON</t>
  </si>
  <si>
    <t>210038 - UMMC MIDTOWN</t>
  </si>
  <si>
    <t>210039 - CALVERT</t>
  </si>
  <si>
    <t>210040 - NORTHWEST</t>
  </si>
  <si>
    <t>210043 - BALTIMORE WASHINGTON MEDICAL CENTER</t>
  </si>
  <si>
    <t>210044 - G.B.M.C.</t>
  </si>
  <si>
    <t>210045 - MCCREADY</t>
  </si>
  <si>
    <t>210048 - HOWARD COUNTY</t>
  </si>
  <si>
    <t>210049 - UPPER CHESAPEAKE HEALTH</t>
  </si>
  <si>
    <t>210051 - DOCTORS COMMUNITY</t>
  </si>
  <si>
    <t>210055 - LAUREL REGIONAL</t>
  </si>
  <si>
    <t>210056 - GOOD SAMARITAN</t>
  </si>
  <si>
    <t>210057 - SHADY GROVE</t>
  </si>
  <si>
    <t>210058 - REHAB &amp; ORTHO</t>
  </si>
  <si>
    <t>210060 - FT. WASHINGTON</t>
  </si>
  <si>
    <t>210061 - ATLANTIC GENERAL</t>
  </si>
  <si>
    <t>210062 - SOUTHERN MARYLAND</t>
  </si>
  <si>
    <t>210063 - UM ST. JOSEPH</t>
  </si>
  <si>
    <t>210064 - LEVINDALE</t>
  </si>
  <si>
    <t>210065 - HOLY CROSS GERMANTOWN</t>
  </si>
  <si>
    <t>Case-Mix Adjusted Rate with OOS Adjustment</t>
  </si>
  <si>
    <t>Change in Case-mix Adjusted Rate from CY2016</t>
  </si>
  <si>
    <t>WASHINGTON ADVENTIST</t>
  </si>
  <si>
    <t>Hospitals</t>
  </si>
  <si>
    <t>Meritus</t>
  </si>
  <si>
    <t>UMMC</t>
  </si>
  <si>
    <t>UM-PGHC</t>
  </si>
  <si>
    <t>Holy Cross</t>
  </si>
  <si>
    <t>Frederick</t>
  </si>
  <si>
    <t>UM-Harford</t>
  </si>
  <si>
    <t>Mercy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</si>
  <si>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</si>
  <si>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</si>
  <si>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</si>
  <si>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</si>
  <si>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</si>
  <si>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</si>
  <si>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</si>
  <si>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</si>
  <si>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</si>
  <si>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</si>
  <si>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</si>
  <si>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</si>
  <si>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</si>
  <si>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</si>
  <si>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</si>
  <si>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</si>
  <si>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</si>
  <si>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</si>
  <si>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</si>
  <si>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</si>
  <si>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</si>
  <si>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</si>
  <si>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</si>
  <si>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</si>
  <si>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</si>
  <si>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</si>
  <si>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UM-Laurel</t>
  </si>
  <si>
    <t>MedStar Good Sam</t>
  </si>
  <si>
    <t>Shady Grove</t>
  </si>
  <si>
    <t>UMROI</t>
  </si>
  <si>
    <t>Ft. Washington</t>
  </si>
  <si>
    <t>MedStar Southern MD</t>
  </si>
  <si>
    <t>UM-St. Joe</t>
  </si>
  <si>
    <t>HC-Germantown</t>
  </si>
  <si>
    <t>Target</t>
  </si>
  <si>
    <t>% Revenue Adjustment</t>
  </si>
  <si>
    <t>$ Revenue Adjustment</t>
  </si>
  <si>
    <t xml:space="preserve">$ Better of Attainment or Improvement </t>
  </si>
  <si>
    <t>Revenue Adjustment Based on Improvement or Attainment</t>
  </si>
  <si>
    <t>RRIP assesses hospitals on the better of improvement or attainment.  For improvement, the case-mix adjusted readmission rate is used (column F).  For attainment, the case-mix adjusted readmission rate is adjusted to account for out of state readmissions to ensure fairness to non-border hospitals.  Medicare data from CMMI is used to calculate an out of state ratio (column E).  This ratio is multipled by the case-mix-adjusted rate to get the case-mix adjusted rate with out of state adjustment (column G).  This report provides on-going preliminary Medicare readmission numbers for attainment.</t>
  </si>
  <si>
    <t>Target (top 25th %)</t>
  </si>
  <si>
    <t>HC Germatown Imp Target</t>
  </si>
  <si>
    <t>HC Germantown Imp Reward Score</t>
  </si>
  <si>
    <t>HC Germantown Imp Penalty Score</t>
  </si>
  <si>
    <t>Readmission Rate</t>
  </si>
  <si>
    <t>Based on CMMI Data Jul 17 - Jun 18</t>
  </si>
  <si>
    <t>H = D/F * 11.76%</t>
  </si>
  <si>
    <t>N = J/L * 11.76%</t>
  </si>
  <si>
    <t>Q = (1+O)*(1+P)-1)</t>
  </si>
  <si>
    <t>CY18 Compounded Cumulative Improvement Readmission Rate</t>
  </si>
  <si>
    <t>Risk Adjusted Readmission Rate is calculated by multiplying the observed-to-expected Readmission Ratio (columns H &amp; N) by 11.76% , the statewide unadjusted rate for all 12 months of CY2016 Base Period and not just CY2016 (YTD).</t>
  </si>
  <si>
    <t>See Tab 3 'CY2016 Readmit Rates' for inputs used to calculate the final CY2016 statewide unadjusted rate of 11.76% (Percent Readmissions Grand Total, column E).</t>
  </si>
  <si>
    <t>For this YTD comparison, the same number of months are included for both Base Period and Performance Period, for instance Jan-Sep CY2016 (Base Period YTD) and Jan-Sep CY2018 (Performance Period YTD).</t>
  </si>
  <si>
    <t>CY2016 Base Year YTD Rates and CY2018 YTD Performance Period by Hospital, All Payers</t>
  </si>
  <si>
    <t>Results Used from:</t>
  </si>
  <si>
    <t>RY 19 Estimated Permanent Inpatient Revenue</t>
  </si>
  <si>
    <t>CY16-CY18 % Change in Case Mix Adjusted Rate</t>
  </si>
  <si>
    <t>CY18 Modified Cumulative Improvement Readmission Rate with compounding</t>
  </si>
  <si>
    <t>Scaling:</t>
  </si>
  <si>
    <t>RY20</t>
  </si>
  <si>
    <t>RY 2020 Readmission Reduction Incentive Program</t>
  </si>
  <si>
    <t>Holy Cross Germantown is Attainment and 2 year improvement in RY 2020</t>
  </si>
  <si>
    <t>(January-December Readmissions + Jan 2019 discharge data to determine Dec Readmissions)</t>
  </si>
  <si>
    <t>CY2016 Base Period (YTD, Jan-Dec 2016)</t>
  </si>
  <si>
    <t>CY2018 Performance Period (YTD, Jan-Dec 2018)</t>
  </si>
  <si>
    <t>210003+210055</t>
  </si>
  <si>
    <t>combined PG-Laurel</t>
  </si>
  <si>
    <t>combined pg-laurel</t>
  </si>
  <si>
    <t>RY20 (December with Jan discharge data, includes PG + Laurel combo)</t>
  </si>
  <si>
    <t>Values for PG hospital represent combined values for PG and Laurel performance</t>
  </si>
  <si>
    <t>RY18 % Change</t>
  </si>
  <si>
    <t>CY16 Case Mix Adjusted Readmission Rate (RY20 Base)</t>
  </si>
  <si>
    <t>CY18 Case Mix Adjusted Readmission Rate (RY20 Performance)</t>
  </si>
  <si>
    <t>CY18 Case Mix Adjusted Rate with Out-of-State Adjustment</t>
  </si>
  <si>
    <t>RY20 Final % Revenue Adjustment</t>
  </si>
  <si>
    <t>Scores updated:</t>
  </si>
  <si>
    <t>BWMC</t>
  </si>
  <si>
    <t>WESTERN MARYLAND</t>
  </si>
  <si>
    <t xml:space="preserve">FREDERICK </t>
  </si>
  <si>
    <t xml:space="preserve">HOPKINS BAYVIEW </t>
  </si>
  <si>
    <t>UM-PG</t>
  </si>
  <si>
    <t>UM-HARFORD</t>
  </si>
  <si>
    <t>UM-DORCHESTER</t>
  </si>
  <si>
    <t>MS-FRANKLIN SQUARE</t>
  </si>
  <si>
    <t>GARRETT</t>
  </si>
  <si>
    <t xml:space="preserve">MS-MONTGOMERY </t>
  </si>
  <si>
    <t>PRMC</t>
  </si>
  <si>
    <t>AAMC</t>
  </si>
  <si>
    <t>MS-UNION</t>
  </si>
  <si>
    <t>MS-ST. MARY</t>
  </si>
  <si>
    <t>UM-CHESTERTOWN</t>
  </si>
  <si>
    <t xml:space="preserve">UNION OF CECIL </t>
  </si>
  <si>
    <t>CARROLL</t>
  </si>
  <si>
    <t>MS-HARBOR</t>
  </si>
  <si>
    <t>UM-CHARLES</t>
  </si>
  <si>
    <t>UM-EASTON</t>
  </si>
  <si>
    <t xml:space="preserve">UM-UCH </t>
  </si>
  <si>
    <t xml:space="preserve">DOCTORS </t>
  </si>
  <si>
    <t>UM-LAUREL</t>
  </si>
  <si>
    <t>MS-GOOD SAMARITAN</t>
  </si>
  <si>
    <t>MS-SOUTHERN MD</t>
  </si>
  <si>
    <t>HC GERMANTOWN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</si>
</sst>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164" formatCode="\ ###,###,###,##0"/>
    <numFmt numFmtId="165" formatCode="\ ##0.00%"/>
    <numFmt numFmtId="166" formatCode="\ #,##0.000"/>
    <numFmt numFmtId="167" formatCode="0.0%"/>
    <numFmt numFmtId="168" formatCode="0.000000000000000%"/>
    <numFmt numFmtId="169" formatCode="&quot;$&quot;#,##0"/>
    <numFmt numFmtId="170" formatCode="0.0000%"/>
    <numFmt numFmtId="171" formatCode="_(&quot;$&quot;* #,##0_);_(&quot;$&quot;* \(#,##0\);_(&quot;$&quot;* &quot;-&quot;??_);_(@_)"/>
    <numFmt numFmtId="172" formatCode="[$-10409]0.0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8"/>
      <color indexed="8"/>
      <name val="Arial, Albany AMT, Helvetica"/>
    </font>
    <font>
      <sz val="12"/>
      <color indexed="8"/>
      <name val="Arial, Helvetica, sans-serif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i/>
      <sz val="11"/>
      <color rgb="FFFF0000"/>
      <name val="Arial"/>
      <family val="2"/>
    </font>
    <font>
      <sz val="11"/>
      <color theme="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D6BE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9" borderId="20" applyNumberFormat="0" applyAlignment="0" applyProtection="0"/>
    <xf numFmtId="0" fontId="29" fillId="20" borderId="21" applyNumberFormat="0" applyAlignment="0" applyProtection="0"/>
    <xf numFmtId="0" fontId="30" fillId="20" borderId="20" applyNumberFormat="0" applyAlignment="0" applyProtection="0"/>
    <xf numFmtId="0" fontId="31" fillId="0" borderId="22" applyNumberFormat="0" applyFill="0" applyAlignment="0" applyProtection="0"/>
    <xf numFmtId="0" fontId="32" fillId="21" borderId="23" applyNumberFormat="0" applyAlignment="0" applyProtection="0"/>
    <xf numFmtId="0" fontId="33" fillId="0" borderId="0" applyNumberFormat="0" applyFill="0" applyBorder="0" applyAlignment="0" applyProtection="0"/>
    <xf numFmtId="0" fontId="1" fillId="22" borderId="24" applyNumberFormat="0" applyFont="0" applyAlignment="0" applyProtection="0"/>
    <xf numFmtId="0" fontId="34" fillId="0" borderId="0" applyNumberFormat="0" applyFill="0" applyBorder="0" applyAlignment="0" applyProtection="0"/>
    <xf numFmtId="0" fontId="2" fillId="0" borderId="25" applyNumberFormat="0" applyFill="0" applyAlignment="0" applyProtection="0"/>
    <xf numFmtId="0" fontId="3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6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8" fillId="0" borderId="0"/>
    <xf numFmtId="0" fontId="37" fillId="0" borderId="0" applyNumberForma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0" applyFont="1" applyFill="1" applyBorder="1"/>
    <xf numFmtId="0" fontId="6" fillId="2" borderId="0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167" fontId="4" fillId="0" borderId="0" xfId="2" applyNumberFormat="1" applyFont="1" applyFill="1" applyBorder="1"/>
    <xf numFmtId="0" fontId="8" fillId="0" borderId="0" xfId="3"/>
    <xf numFmtId="0" fontId="2" fillId="6" borderId="6" xfId="3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left"/>
    </xf>
    <xf numFmtId="0" fontId="3" fillId="2" borderId="12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wrapText="1"/>
    </xf>
    <xf numFmtId="0" fontId="13" fillId="0" borderId="6" xfId="0" applyNumberFormat="1" applyFont="1" applyFill="1" applyBorder="1" applyAlignment="1" applyProtection="1">
      <alignment horizontal="right"/>
    </xf>
    <xf numFmtId="0" fontId="13" fillId="0" borderId="6" xfId="0" applyNumberFormat="1" applyFont="1" applyFill="1" applyBorder="1" applyAlignment="1" applyProtection="1">
      <alignment horizontal="left"/>
    </xf>
    <xf numFmtId="169" fontId="5" fillId="0" borderId="6" xfId="0" applyNumberFormat="1" applyFont="1" applyBorder="1" applyAlignment="1">
      <alignment horizontal="right"/>
    </xf>
    <xf numFmtId="10" fontId="10" fillId="0" borderId="6" xfId="2" applyNumberFormat="1" applyFont="1" applyFill="1" applyBorder="1" applyAlignment="1" applyProtection="1"/>
    <xf numFmtId="170" fontId="10" fillId="0" borderId="6" xfId="2" applyNumberFormat="1" applyFont="1" applyFill="1" applyBorder="1" applyAlignment="1" applyProtection="1"/>
    <xf numFmtId="167" fontId="13" fillId="2" borderId="6" xfId="2" applyNumberFormat="1" applyFont="1" applyFill="1" applyBorder="1" applyAlignment="1" applyProtection="1"/>
    <xf numFmtId="10" fontId="10" fillId="2" borderId="6" xfId="2" applyNumberFormat="1" applyFont="1" applyFill="1" applyBorder="1" applyAlignment="1" applyProtection="1"/>
    <xf numFmtId="169" fontId="13" fillId="0" borderId="11" xfId="1" applyNumberFormat="1" applyFont="1" applyFill="1" applyBorder="1" applyAlignment="1" applyProtection="1"/>
    <xf numFmtId="10" fontId="13" fillId="0" borderId="6" xfId="2" applyNumberFormat="1" applyFont="1" applyFill="1" applyBorder="1" applyAlignment="1" applyProtection="1"/>
    <xf numFmtId="169" fontId="13" fillId="0" borderId="6" xfId="1" applyNumberFormat="1" applyFont="1" applyFill="1" applyBorder="1" applyAlignment="1" applyProtection="1"/>
    <xf numFmtId="10" fontId="10" fillId="2" borderId="0" xfId="2" applyNumberFormat="1" applyFont="1" applyFill="1" applyBorder="1" applyAlignment="1" applyProtection="1"/>
    <xf numFmtId="168" fontId="10" fillId="2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169" fontId="5" fillId="0" borderId="6" xfId="0" applyNumberFormat="1" applyFont="1" applyFill="1" applyBorder="1" applyAlignment="1">
      <alignment horizontal="right"/>
    </xf>
    <xf numFmtId="10" fontId="10" fillId="0" borderId="6" xfId="5" applyNumberFormat="1" applyFont="1" applyFill="1" applyBorder="1" applyAlignment="1" applyProtection="1"/>
    <xf numFmtId="10" fontId="13" fillId="0" borderId="11" xfId="2" applyNumberFormat="1" applyFont="1" applyFill="1" applyBorder="1" applyAlignment="1" applyProtection="1"/>
    <xf numFmtId="0" fontId="12" fillId="0" borderId="6" xfId="0" applyNumberFormat="1" applyFont="1" applyFill="1" applyBorder="1" applyAlignment="1" applyProtection="1"/>
    <xf numFmtId="169" fontId="3" fillId="0" borderId="6" xfId="0" applyNumberFormat="1" applyFont="1" applyBorder="1" applyAlignment="1">
      <alignment horizontal="right"/>
    </xf>
    <xf numFmtId="10" fontId="12" fillId="0" borderId="6" xfId="2" applyNumberFormat="1" applyFont="1" applyFill="1" applyBorder="1" applyAlignment="1" applyProtection="1"/>
    <xf numFmtId="167" fontId="12" fillId="2" borderId="6" xfId="2" applyNumberFormat="1" applyFont="1" applyFill="1" applyBorder="1" applyAlignment="1" applyProtection="1"/>
    <xf numFmtId="171" fontId="11" fillId="2" borderId="11" xfId="0" applyNumberFormat="1" applyFont="1" applyFill="1" applyBorder="1" applyAlignment="1" applyProtection="1"/>
    <xf numFmtId="169" fontId="12" fillId="0" borderId="11" xfId="1" applyNumberFormat="1" applyFont="1" applyFill="1" applyBorder="1" applyAlignment="1" applyProtection="1"/>
    <xf numFmtId="0" fontId="10" fillId="2" borderId="6" xfId="0" applyNumberFormat="1" applyFont="1" applyFill="1" applyBorder="1" applyAlignment="1" applyProtection="1"/>
    <xf numFmtId="0" fontId="10" fillId="2" borderId="11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/>
    <xf numFmtId="0" fontId="10" fillId="0" borderId="6" xfId="0" applyFont="1" applyBorder="1"/>
    <xf numFmtId="0" fontId="12" fillId="0" borderId="6" xfId="0" applyNumberFormat="1" applyFont="1" applyFill="1" applyBorder="1" applyAlignment="1" applyProtection="1">
      <alignment horizontal="right"/>
    </xf>
    <xf numFmtId="10" fontId="14" fillId="0" borderId="6" xfId="5" applyNumberFormat="1" applyFont="1" applyFill="1" applyBorder="1" applyAlignment="1" applyProtection="1"/>
    <xf numFmtId="167" fontId="13" fillId="0" borderId="6" xfId="2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/>
    </xf>
    <xf numFmtId="169" fontId="5" fillId="0" borderId="0" xfId="0" applyNumberFormat="1" applyFont="1" applyBorder="1" applyAlignment="1">
      <alignment horizontal="right"/>
    </xf>
    <xf numFmtId="10" fontId="14" fillId="2" borderId="0" xfId="5" applyNumberFormat="1" applyFont="1" applyFill="1" applyBorder="1" applyAlignment="1" applyProtection="1"/>
    <xf numFmtId="167" fontId="13" fillId="2" borderId="0" xfId="2" applyNumberFormat="1" applyFont="1" applyFill="1" applyBorder="1" applyAlignment="1" applyProtection="1"/>
    <xf numFmtId="167" fontId="10" fillId="2" borderId="0" xfId="2" applyNumberFormat="1" applyFont="1" applyFill="1" applyBorder="1" applyAlignment="1" applyProtection="1"/>
    <xf numFmtId="0" fontId="10" fillId="2" borderId="16" xfId="0" applyNumberFormat="1" applyFont="1" applyFill="1" applyBorder="1" applyAlignment="1" applyProtection="1"/>
    <xf numFmtId="10" fontId="10" fillId="2" borderId="16" xfId="2" applyNumberFormat="1" applyFont="1" applyFill="1" applyBorder="1" applyAlignment="1" applyProtection="1"/>
    <xf numFmtId="10" fontId="16" fillId="12" borderId="6" xfId="2" applyNumberFormat="1" applyFont="1" applyFill="1" applyBorder="1" applyAlignment="1" applyProtection="1">
      <alignment horizontal="center" wrapText="1"/>
    </xf>
    <xf numFmtId="0" fontId="18" fillId="0" borderId="6" xfId="0" applyNumberFormat="1" applyFont="1" applyFill="1" applyBorder="1" applyAlignment="1" applyProtection="1">
      <alignment horizontal="left" wrapText="1"/>
    </xf>
    <xf numFmtId="0" fontId="6" fillId="14" borderId="3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left" wrapText="1"/>
    </xf>
    <xf numFmtId="0" fontId="13" fillId="0" borderId="6" xfId="0" applyNumberFormat="1" applyFont="1" applyFill="1" applyBorder="1" applyAlignment="1" applyProtection="1">
      <alignment horizontal="left" wrapText="1"/>
    </xf>
    <xf numFmtId="0" fontId="12" fillId="0" borderId="6" xfId="0" applyNumberFormat="1" applyFont="1" applyFill="1" applyBorder="1" applyAlignment="1" applyProtection="1">
      <alignment wrapText="1"/>
    </xf>
    <xf numFmtId="0" fontId="10" fillId="2" borderId="6" xfId="0" applyNumberFormat="1" applyFont="1" applyFill="1" applyBorder="1" applyAlignment="1" applyProtection="1">
      <alignment wrapText="1"/>
    </xf>
    <xf numFmtId="0" fontId="12" fillId="0" borderId="6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6" fillId="12" borderId="11" xfId="0" applyFont="1" applyFill="1" applyBorder="1" applyAlignment="1">
      <alignment wrapText="1"/>
    </xf>
    <xf numFmtId="0" fontId="19" fillId="7" borderId="6" xfId="0" applyNumberFormat="1" applyFont="1" applyFill="1" applyBorder="1" applyAlignment="1" applyProtection="1">
      <alignment horizontal="center" vertical="center" wrapText="1"/>
    </xf>
    <xf numFmtId="0" fontId="19" fillId="10" borderId="6" xfId="0" applyNumberFormat="1" applyFont="1" applyFill="1" applyBorder="1" applyAlignment="1" applyProtection="1">
      <alignment horizontal="center" vertical="center" wrapText="1"/>
    </xf>
    <xf numFmtId="10" fontId="19" fillId="10" borderId="6" xfId="0" applyNumberFormat="1" applyFont="1" applyFill="1" applyBorder="1" applyAlignment="1" applyProtection="1">
      <alignment horizontal="center" vertical="center" wrapText="1"/>
    </xf>
    <xf numFmtId="0" fontId="19" fillId="11" borderId="6" xfId="0" applyNumberFormat="1" applyFont="1" applyFill="1" applyBorder="1" applyAlignment="1" applyProtection="1">
      <alignment horizontal="center" vertical="center" wrapText="1"/>
    </xf>
    <xf numFmtId="0" fontId="19" fillId="8" borderId="6" xfId="0" applyNumberFormat="1" applyFont="1" applyFill="1" applyBorder="1" applyAlignment="1" applyProtection="1">
      <alignment horizontal="center" vertical="center" wrapText="1"/>
    </xf>
    <xf numFmtId="0" fontId="19" fillId="9" borderId="6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wrapText="1"/>
    </xf>
    <xf numFmtId="0" fontId="21" fillId="10" borderId="6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/>
    <xf numFmtId="10" fontId="20" fillId="2" borderId="0" xfId="0" applyNumberFormat="1" applyFont="1" applyFill="1" applyBorder="1" applyAlignment="1" applyProtection="1"/>
    <xf numFmtId="167" fontId="16" fillId="15" borderId="6" xfId="2" applyNumberFormat="1" applyFont="1" applyFill="1" applyBorder="1" applyAlignment="1" applyProtection="1">
      <alignment horizontal="center" wrapText="1"/>
    </xf>
    <xf numFmtId="10" fontId="16" fillId="15" borderId="6" xfId="2" applyNumberFormat="1" applyFont="1" applyFill="1" applyBorder="1" applyAlignment="1" applyProtection="1">
      <alignment horizontal="center" wrapText="1"/>
    </xf>
    <xf numFmtId="0" fontId="3" fillId="2" borderId="0" xfId="0" applyNumberFormat="1" applyFont="1" applyFill="1" applyBorder="1" applyAlignment="1" applyProtection="1">
      <alignment wrapText="1"/>
    </xf>
    <xf numFmtId="0" fontId="5" fillId="2" borderId="0" xfId="0" applyNumberFormat="1" applyFont="1" applyFill="1" applyBorder="1" applyAlignment="1" applyProtection="1">
      <alignment wrapText="1"/>
    </xf>
    <xf numFmtId="0" fontId="0" fillId="0" borderId="0" xfId="0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8" fillId="13" borderId="6" xfId="3" applyFont="1" applyFill="1" applyBorder="1" applyAlignment="1">
      <alignment horizontal="center" vertical="center" wrapText="1"/>
    </xf>
    <xf numFmtId="10" fontId="8" fillId="13" borderId="6" xfId="3" applyNumberFormat="1" applyFill="1" applyBorder="1" applyAlignment="1">
      <alignment horizontal="center" vertical="center" wrapText="1"/>
    </xf>
    <xf numFmtId="0" fontId="8" fillId="13" borderId="6" xfId="3" applyFill="1" applyBorder="1" applyAlignment="1">
      <alignment horizontal="center" vertical="center" wrapText="1"/>
    </xf>
    <xf numFmtId="0" fontId="38" fillId="0" borderId="0" xfId="3" applyFont="1" applyFill="1"/>
    <xf numFmtId="0" fontId="39" fillId="0" borderId="0" xfId="3" applyFont="1" applyFill="1"/>
    <xf numFmtId="0" fontId="40" fillId="0" borderId="0" xfId="0" applyFont="1"/>
    <xf numFmtId="0" fontId="20" fillId="0" borderId="0" xfId="0" applyFont="1"/>
    <xf numFmtId="0" fontId="17" fillId="2" borderId="3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left" wrapText="1"/>
    </xf>
    <xf numFmtId="164" fontId="17" fillId="2" borderId="3" xfId="0" applyNumberFormat="1" applyFont="1" applyFill="1" applyBorder="1" applyAlignment="1">
      <alignment horizontal="right" wrapText="1"/>
    </xf>
    <xf numFmtId="165" fontId="17" fillId="2" borderId="3" xfId="0" applyNumberFormat="1" applyFont="1" applyFill="1" applyBorder="1" applyAlignment="1">
      <alignment horizontal="right" wrapText="1"/>
    </xf>
    <xf numFmtId="166" fontId="17" fillId="2" borderId="3" xfId="0" applyNumberFormat="1" applyFont="1" applyFill="1" applyBorder="1" applyAlignment="1">
      <alignment horizontal="right" wrapText="1"/>
    </xf>
    <xf numFmtId="0" fontId="7" fillId="5" borderId="3" xfId="0" applyFont="1" applyFill="1" applyBorder="1" applyAlignment="1">
      <alignment horizontal="right" wrapText="1"/>
    </xf>
    <xf numFmtId="0" fontId="7" fillId="5" borderId="3" xfId="0" applyFont="1" applyFill="1" applyBorder="1" applyAlignment="1">
      <alignment horizontal="left" wrapText="1"/>
    </xf>
    <xf numFmtId="164" fontId="7" fillId="5" borderId="3" xfId="0" applyNumberFormat="1" applyFont="1" applyFill="1" applyBorder="1" applyAlignment="1">
      <alignment horizontal="right" wrapText="1"/>
    </xf>
    <xf numFmtId="165" fontId="7" fillId="5" borderId="3" xfId="0" applyNumberFormat="1" applyFont="1" applyFill="1" applyBorder="1" applyAlignment="1">
      <alignment horizontal="right" wrapText="1"/>
    </xf>
    <xf numFmtId="166" fontId="7" fillId="5" borderId="3" xfId="0" applyNumberFormat="1" applyFont="1" applyFill="1" applyBorder="1" applyAlignment="1">
      <alignment horizontal="right" wrapText="1"/>
    </xf>
    <xf numFmtId="0" fontId="9" fillId="0" borderId="6" xfId="3" applyFont="1" applyBorder="1"/>
    <xf numFmtId="0" fontId="8" fillId="0" borderId="6" xfId="3" applyBorder="1"/>
    <xf numFmtId="10" fontId="8" fillId="0" borderId="6" xfId="3" applyNumberFormat="1" applyBorder="1"/>
    <xf numFmtId="2" fontId="8" fillId="0" borderId="6" xfId="3" applyNumberFormat="1" applyBorder="1"/>
    <xf numFmtId="172" fontId="8" fillId="0" borderId="1" xfId="50" applyNumberFormat="1" applyBorder="1" applyAlignment="1">
      <alignment vertical="top" wrapText="1" readingOrder="1"/>
    </xf>
    <xf numFmtId="10" fontId="8" fillId="0" borderId="6" xfId="5" applyNumberFormat="1" applyBorder="1"/>
    <xf numFmtId="14" fontId="20" fillId="0" borderId="0" xfId="0" applyNumberFormat="1" applyFont="1"/>
    <xf numFmtId="0" fontId="5" fillId="2" borderId="0" xfId="0" applyNumberFormat="1" applyFont="1" applyFill="1" applyBorder="1" applyAlignment="1" applyProtection="1">
      <alignment horizont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0" fillId="47" borderId="0" xfId="0" applyNumberFormat="1" applyFill="1"/>
    <xf numFmtId="10" fontId="0" fillId="47" borderId="0" xfId="2" applyNumberFormat="1" applyFont="1" applyFill="1"/>
    <xf numFmtId="0" fontId="0" fillId="47" borderId="0" xfId="0" applyFill="1"/>
    <xf numFmtId="10" fontId="41" fillId="48" borderId="0" xfId="2" applyNumberFormat="1" applyFont="1" applyFill="1" applyBorder="1" applyAlignment="1" applyProtection="1"/>
    <xf numFmtId="10" fontId="8" fillId="0" borderId="0" xfId="3" applyNumberFormat="1"/>
    <xf numFmtId="0" fontId="13" fillId="0" borderId="0" xfId="0" applyNumberFormat="1" applyFont="1" applyFill="1" applyBorder="1" applyAlignment="1" applyProtection="1">
      <alignment horizontal="left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14" borderId="2" xfId="0" applyNumberFormat="1" applyFont="1" applyFill="1" applyBorder="1" applyAlignment="1" applyProtection="1">
      <alignment horizontal="center" vertical="center" wrapText="1"/>
    </xf>
    <xf numFmtId="0" fontId="6" fillId="14" borderId="3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0" fontId="8" fillId="0" borderId="7" xfId="3" applyBorder="1" applyAlignment="1">
      <alignment horizontal="left" vertical="top" wrapText="1"/>
    </xf>
    <xf numFmtId="0" fontId="8" fillId="0" borderId="8" xfId="3" applyBorder="1" applyAlignment="1">
      <alignment horizontal="left" vertical="top" wrapText="1"/>
    </xf>
    <xf numFmtId="0" fontId="8" fillId="0" borderId="9" xfId="3" applyBorder="1" applyAlignment="1">
      <alignment horizontal="left" vertical="top" wrapText="1"/>
    </xf>
    <xf numFmtId="0" fontId="11" fillId="8" borderId="11" xfId="0" applyNumberFormat="1" applyFont="1" applyFill="1" applyBorder="1" applyAlignment="1" applyProtection="1">
      <alignment horizontal="center"/>
    </xf>
    <xf numFmtId="0" fontId="11" fillId="8" borderId="12" xfId="0" applyNumberFormat="1" applyFont="1" applyFill="1" applyBorder="1" applyAlignment="1" applyProtection="1">
      <alignment horizontal="center"/>
    </xf>
    <xf numFmtId="0" fontId="11" fillId="8" borderId="13" xfId="0" applyNumberFormat="1" applyFont="1" applyFill="1" applyBorder="1" applyAlignment="1" applyProtection="1">
      <alignment horizontal="center"/>
    </xf>
    <xf numFmtId="0" fontId="15" fillId="0" borderId="0" xfId="0" applyFont="1" applyFill="1" applyAlignment="1">
      <alignment horizontal="left"/>
    </xf>
    <xf numFmtId="0" fontId="11" fillId="9" borderId="14" xfId="0" applyNumberFormat="1" applyFont="1" applyFill="1" applyBorder="1" applyAlignment="1" applyProtection="1">
      <alignment horizontal="center"/>
    </xf>
    <xf numFmtId="0" fontId="11" fillId="9" borderId="10" xfId="0" applyNumberFormat="1" applyFont="1" applyFill="1" applyBorder="1" applyAlignment="1" applyProtection="1">
      <alignment horizontal="center"/>
    </xf>
    <xf numFmtId="0" fontId="11" fillId="9" borderId="15" xfId="0" applyNumberFormat="1" applyFont="1" applyFill="1" applyBorder="1" applyAlignment="1" applyProtection="1">
      <alignment horizontal="center"/>
    </xf>
    <xf numFmtId="0" fontId="11" fillId="7" borderId="16" xfId="0" applyNumberFormat="1" applyFont="1" applyFill="1" applyBorder="1" applyAlignment="1" applyProtection="1">
      <alignment horizontal="center"/>
    </xf>
    <xf numFmtId="0" fontId="11" fillId="7" borderId="0" xfId="0" applyNumberFormat="1" applyFont="1" applyFill="1" applyBorder="1" applyAlignment="1" applyProtection="1">
      <alignment horizontal="center"/>
    </xf>
  </cellXfs>
  <cellStyles count="52">
    <cellStyle name="20% - Accent1" xfId="23" builtinId="30" customBuiltin="1"/>
    <cellStyle name="20% - Accent2" xfId="26" builtinId="34" customBuiltin="1"/>
    <cellStyle name="20% - Accent3" xfId="29" builtinId="38" customBuiltin="1"/>
    <cellStyle name="20% - Accent4" xfId="32" builtinId="42" customBuiltin="1"/>
    <cellStyle name="20% - Accent5" xfId="35" builtinId="46" customBuiltin="1"/>
    <cellStyle name="20% - Accent6" xfId="38" builtinId="50" customBuiltin="1"/>
    <cellStyle name="40% - Accent1" xfId="24" builtinId="31" customBuiltin="1"/>
    <cellStyle name="40% - Accent2" xfId="27" builtinId="35" customBuiltin="1"/>
    <cellStyle name="40% - Accent3" xfId="30" builtinId="39" customBuiltin="1"/>
    <cellStyle name="40% - Accent4" xfId="33" builtinId="43" customBuiltin="1"/>
    <cellStyle name="40% - Accent5" xfId="36" builtinId="47" customBuiltin="1"/>
    <cellStyle name="40% - Accent6" xfId="39" builtinId="51" customBuiltin="1"/>
    <cellStyle name="60% - Accent1 2" xfId="41"/>
    <cellStyle name="60% - Accent2 2" xfId="42"/>
    <cellStyle name="60% - Accent3 2" xfId="43"/>
    <cellStyle name="60% - Accent4 2" xfId="44"/>
    <cellStyle name="60% - Accent5 2" xfId="45"/>
    <cellStyle name="60% - Accent6 2" xfId="46"/>
    <cellStyle name="Accent1" xfId="22" builtinId="29" customBuiltin="1"/>
    <cellStyle name="Accent2" xfId="25" builtinId="33" customBuiltin="1"/>
    <cellStyle name="Accent3" xfId="28" builtinId="37" customBuiltin="1"/>
    <cellStyle name="Accent4" xfId="31" builtinId="41" customBuiltin="1"/>
    <cellStyle name="Accent5" xfId="34" builtinId="45" customBuiltin="1"/>
    <cellStyle name="Accent6" xfId="37" builtinId="49" customBuiltin="1"/>
    <cellStyle name="Bad" xfId="12" builtinId="27" customBuiltin="1"/>
    <cellStyle name="Calculation" xfId="15" builtinId="22" customBuiltin="1"/>
    <cellStyle name="Check Cell" xfId="17" builtinId="23" customBuiltin="1"/>
    <cellStyle name="Currency" xfId="1" builtinId="4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49"/>
    <cellStyle name="Input" xfId="13" builtinId="20" customBuiltin="1"/>
    <cellStyle name="Linked Cell" xfId="16" builtinId="24" customBuiltin="1"/>
    <cellStyle name="Neutral 2" xfId="40"/>
    <cellStyle name="Normal" xfId="0" builtinId="0"/>
    <cellStyle name="Normal 2" xfId="3"/>
    <cellStyle name="Normal 2 2" xfId="50"/>
    <cellStyle name="Normal 2 2 2" xfId="4"/>
    <cellStyle name="Normal 3" xfId="47"/>
    <cellStyle name="Normal 3 2" xfId="48"/>
    <cellStyle name="Note" xfId="19" builtinId="10" customBuiltin="1"/>
    <cellStyle name="Output" xfId="14" builtinId="21" customBuiltin="1"/>
    <cellStyle name="Percent" xfId="2" builtinId="5"/>
    <cellStyle name="Percent 2" xfId="51"/>
    <cellStyle name="Percent 2 3" xfId="5"/>
    <cellStyle name="Title" xfId="6" builtinId="15" customBuiltin="1"/>
    <cellStyle name="Total" xfId="21" builtinId="25" customBuiltin="1"/>
    <cellStyle name="Warning Text" xfId="18" builtinId="11" customBuiltin="1"/>
  </cellStyles>
  <dxfs count="4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henderson\Downloads\RY20%20Readmissions%20Summary%20CY18-01%20to%20CY18-12%20created%202019-04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20%20Readmissions%20Summary%20CY18-01%20to%20CY18-12%20created%202019-04-04%20PG-Laurel%20Comb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RRIP/RY2020/Out-of-State%20Ratios/MD_Readmissions_V6_Oct2017_Sep2018_OOS%20-%20FINAL%20USED%20FOR%20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0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CY2016 Readmit Norms"/>
      <sheetName val="3.CY2016 Readmit Rates"/>
      <sheetName val="4.CY2018 Improve All Payers"/>
      <sheetName val="4a.CY2018 Improve Medicare FFS"/>
      <sheetName val="4b.CY2018 Improve Medicaid FFS"/>
      <sheetName val="5.CY17 Readmit Rates"/>
      <sheetName val="6. CY18 Readmit Attainment"/>
      <sheetName val="7. RY20 Revenue Scales"/>
      <sheetName val="8. RRIP Calculation Sheet"/>
    </sheetNames>
    <sheetDataSet>
      <sheetData sheetId="0"/>
      <sheetData sheetId="1"/>
      <sheetData sheetId="2"/>
      <sheetData sheetId="3">
        <row r="7">
          <cell r="A7">
            <v>210001</v>
          </cell>
          <cell r="B7" t="str">
            <v>Meritus</v>
          </cell>
          <cell r="C7">
            <v>13825</v>
          </cell>
          <cell r="D7">
            <v>1534</v>
          </cell>
          <cell r="E7">
            <v>0.111</v>
          </cell>
          <cell r="F7">
            <v>1609.8658</v>
          </cell>
          <cell r="G7">
            <v>0.95287449999999996</v>
          </cell>
          <cell r="H7">
            <v>0.11210000000000001</v>
          </cell>
          <cell r="I7">
            <v>13528</v>
          </cell>
          <cell r="J7">
            <v>1545</v>
          </cell>
          <cell r="K7">
            <v>0.1142</v>
          </cell>
          <cell r="L7">
            <v>1684.4345000000001</v>
          </cell>
          <cell r="M7">
            <v>0.91722179999999998</v>
          </cell>
          <cell r="N7">
            <v>0.1079</v>
          </cell>
          <cell r="O7">
            <v>-3.7499999999999999E-2</v>
          </cell>
          <cell r="P7">
            <v>-6.4399999999999999E-2</v>
          </cell>
          <cell r="Q7">
            <v>-9.9485000000000004E-2</v>
          </cell>
        </row>
        <row r="8">
          <cell r="A8">
            <v>210002</v>
          </cell>
          <cell r="B8" t="str">
            <v>UMMC</v>
          </cell>
          <cell r="C8">
            <v>22741</v>
          </cell>
          <cell r="D8">
            <v>3277</v>
          </cell>
          <cell r="E8">
            <v>0.14410000000000001</v>
          </cell>
          <cell r="F8">
            <v>2965.5434</v>
          </cell>
          <cell r="G8">
            <v>1.1050252</v>
          </cell>
          <cell r="H8">
            <v>0.13</v>
          </cell>
          <cell r="I8">
            <v>22729</v>
          </cell>
          <cell r="J8">
            <v>3301</v>
          </cell>
          <cell r="K8">
            <v>0.1452</v>
          </cell>
          <cell r="L8">
            <v>3057.4124999999999</v>
          </cell>
          <cell r="M8">
            <v>1.0796711000000001</v>
          </cell>
          <cell r="N8">
            <v>0.127</v>
          </cell>
          <cell r="O8">
            <v>-2.3099999999999999E-2</v>
          </cell>
          <cell r="P8">
            <v>-0.1195</v>
          </cell>
          <cell r="Q8">
            <v>-0.13983999999999999</v>
          </cell>
        </row>
        <row r="9">
          <cell r="A9">
            <v>210003</v>
          </cell>
          <cell r="B9" t="str">
            <v>UM-PGHC</v>
          </cell>
          <cell r="C9">
            <v>10699</v>
          </cell>
          <cell r="D9">
            <v>1205</v>
          </cell>
          <cell r="E9">
            <v>0.11260000000000001</v>
          </cell>
          <cell r="F9">
            <v>1292.8996999999999</v>
          </cell>
          <cell r="G9">
            <v>0.93201350000000005</v>
          </cell>
          <cell r="H9">
            <v>0.1096</v>
          </cell>
          <cell r="I9">
            <v>10945</v>
          </cell>
          <cell r="J9">
            <v>1324</v>
          </cell>
          <cell r="K9">
            <v>0.121</v>
          </cell>
          <cell r="L9">
            <v>1432.9350999999999</v>
          </cell>
          <cell r="M9">
            <v>0.92397759999999995</v>
          </cell>
          <cell r="N9">
            <v>0.1087</v>
          </cell>
          <cell r="O9">
            <v>-8.2000000000000007E-3</v>
          </cell>
          <cell r="P9">
            <v>-2.8E-3</v>
          </cell>
          <cell r="Q9">
            <v>-1.0977000000000001E-2</v>
          </cell>
        </row>
        <row r="10">
          <cell r="A10">
            <v>210004</v>
          </cell>
          <cell r="B10" t="str">
            <v>Holy Cross</v>
          </cell>
          <cell r="C10">
            <v>24365</v>
          </cell>
          <cell r="D10">
            <v>2135</v>
          </cell>
          <cell r="E10">
            <v>8.7599999999999997E-2</v>
          </cell>
          <cell r="F10">
            <v>2147.3487</v>
          </cell>
          <cell r="G10">
            <v>0.9942493</v>
          </cell>
          <cell r="H10">
            <v>0.11700000000000001</v>
          </cell>
          <cell r="I10">
            <v>23466</v>
          </cell>
          <cell r="J10">
            <v>1931</v>
          </cell>
          <cell r="K10">
            <v>8.2299999999999998E-2</v>
          </cell>
          <cell r="L10">
            <v>2026.6682000000001</v>
          </cell>
          <cell r="M10">
            <v>0.95279530000000001</v>
          </cell>
          <cell r="N10">
            <v>0.11210000000000001</v>
          </cell>
          <cell r="O10">
            <v>-4.19E-2</v>
          </cell>
          <cell r="P10">
            <v>2.3E-2</v>
          </cell>
          <cell r="Q10">
            <v>-1.9864E-2</v>
          </cell>
        </row>
        <row r="11">
          <cell r="A11">
            <v>210005</v>
          </cell>
          <cell r="B11" t="str">
            <v>Frederick</v>
          </cell>
          <cell r="C11">
            <v>14284</v>
          </cell>
          <cell r="D11">
            <v>1373</v>
          </cell>
          <cell r="E11">
            <v>9.6100000000000005E-2</v>
          </cell>
          <cell r="F11">
            <v>1663.9954</v>
          </cell>
          <cell r="G11">
            <v>0.82512249999999998</v>
          </cell>
          <cell r="H11">
            <v>9.7100000000000006E-2</v>
          </cell>
          <cell r="I11">
            <v>14748</v>
          </cell>
          <cell r="J11">
            <v>1503</v>
          </cell>
          <cell r="K11">
            <v>0.1019</v>
          </cell>
          <cell r="L11">
            <v>1812.1104</v>
          </cell>
          <cell r="M11">
            <v>0.82941969999999998</v>
          </cell>
          <cell r="N11">
            <v>9.7600000000000006E-2</v>
          </cell>
          <cell r="O11">
            <v>5.1000000000000004E-3</v>
          </cell>
          <cell r="P11">
            <v>-9.8100000000000007E-2</v>
          </cell>
          <cell r="Q11">
            <v>-9.35E-2</v>
          </cell>
        </row>
        <row r="12">
          <cell r="A12">
            <v>210006</v>
          </cell>
          <cell r="B12" t="str">
            <v>UM-Harford</v>
          </cell>
          <cell r="C12">
            <v>4072</v>
          </cell>
          <cell r="D12">
            <v>630</v>
          </cell>
          <cell r="E12">
            <v>0.1547</v>
          </cell>
          <cell r="F12">
            <v>583.89340000000004</v>
          </cell>
          <cell r="G12">
            <v>1.0789641000000001</v>
          </cell>
          <cell r="H12">
            <v>0.12690000000000001</v>
          </cell>
          <cell r="I12">
            <v>3928</v>
          </cell>
          <cell r="J12">
            <v>531</v>
          </cell>
          <cell r="K12">
            <v>0.13519999999999999</v>
          </cell>
          <cell r="L12">
            <v>592.22807</v>
          </cell>
          <cell r="M12">
            <v>0.89661400000000002</v>
          </cell>
          <cell r="N12">
            <v>0.1055</v>
          </cell>
          <cell r="O12">
            <v>-0.1686</v>
          </cell>
          <cell r="P12">
            <v>5.3800000000000001E-2</v>
          </cell>
          <cell r="Q12">
            <v>-0.123871</v>
          </cell>
        </row>
        <row r="13">
          <cell r="A13">
            <v>210008</v>
          </cell>
          <cell r="B13" t="str">
            <v>Mercy</v>
          </cell>
          <cell r="C13">
            <v>12715</v>
          </cell>
          <cell r="D13">
            <v>1049</v>
          </cell>
          <cell r="E13">
            <v>8.2500000000000004E-2</v>
          </cell>
          <cell r="F13">
            <v>997.45599000000004</v>
          </cell>
          <cell r="G13">
            <v>1.0516755</v>
          </cell>
          <cell r="H13">
            <v>0.1237</v>
          </cell>
          <cell r="I13">
            <v>12705</v>
          </cell>
          <cell r="J13">
            <v>1130</v>
          </cell>
          <cell r="K13">
            <v>8.8900000000000007E-2</v>
          </cell>
          <cell r="L13">
            <v>1107.9806000000001</v>
          </cell>
          <cell r="M13">
            <v>1.0198735000000001</v>
          </cell>
          <cell r="N13">
            <v>0.12</v>
          </cell>
          <cell r="O13">
            <v>-2.9899999999999999E-2</v>
          </cell>
          <cell r="P13">
            <v>-0.18479999999999999</v>
          </cell>
          <cell r="Q13">
            <v>-0.209174</v>
          </cell>
        </row>
        <row r="14">
          <cell r="A14">
            <v>210009</v>
          </cell>
          <cell r="B14" t="str">
            <v>Johns Hopkins</v>
          </cell>
          <cell r="C14">
            <v>39791</v>
          </cell>
          <cell r="D14">
            <v>5725</v>
          </cell>
          <cell r="E14">
            <v>0.1439</v>
          </cell>
          <cell r="F14">
            <v>5172.7547999999997</v>
          </cell>
          <cell r="G14">
            <v>1.1067604</v>
          </cell>
          <cell r="H14">
            <v>0.13020000000000001</v>
          </cell>
          <cell r="I14">
            <v>37399</v>
          </cell>
          <cell r="J14">
            <v>5494</v>
          </cell>
          <cell r="K14">
            <v>0.1469</v>
          </cell>
          <cell r="L14">
            <v>5104.2497000000003</v>
          </cell>
          <cell r="M14">
            <v>1.0763579999999999</v>
          </cell>
          <cell r="N14">
            <v>0.12659999999999999</v>
          </cell>
          <cell r="O14">
            <v>-2.76E-2</v>
          </cell>
          <cell r="P14">
            <v>-0.12659999999999999</v>
          </cell>
          <cell r="Q14">
            <v>-0.15070600000000001</v>
          </cell>
        </row>
        <row r="15">
          <cell r="A15">
            <v>210010</v>
          </cell>
          <cell r="B15" t="str">
            <v>UM-Dorchester</v>
          </cell>
          <cell r="C15">
            <v>2214</v>
          </cell>
          <cell r="D15">
            <v>322</v>
          </cell>
          <cell r="E15">
            <v>0.1454</v>
          </cell>
          <cell r="F15">
            <v>308.61642999999998</v>
          </cell>
          <cell r="G15">
            <v>1.0433664</v>
          </cell>
          <cell r="H15">
            <v>0.1227</v>
          </cell>
          <cell r="I15">
            <v>1653</v>
          </cell>
          <cell r="J15">
            <v>203</v>
          </cell>
          <cell r="K15">
            <v>0.12280000000000001</v>
          </cell>
          <cell r="L15">
            <v>248.90916000000001</v>
          </cell>
          <cell r="M15">
            <v>0.81555860000000002</v>
          </cell>
          <cell r="N15">
            <v>9.5899999999999999E-2</v>
          </cell>
          <cell r="O15">
            <v>-0.21840000000000001</v>
          </cell>
          <cell r="P15">
            <v>4.3099999999999999E-2</v>
          </cell>
          <cell r="Q15">
            <v>-0.18471299999999999</v>
          </cell>
        </row>
        <row r="16">
          <cell r="A16">
            <v>210011</v>
          </cell>
          <cell r="B16" t="str">
            <v>St. Agnes</v>
          </cell>
          <cell r="C16">
            <v>14790</v>
          </cell>
          <cell r="D16">
            <v>1789</v>
          </cell>
          <cell r="E16">
            <v>0.121</v>
          </cell>
          <cell r="F16">
            <v>1741.7506000000001</v>
          </cell>
          <cell r="G16">
            <v>1.0271275</v>
          </cell>
          <cell r="H16">
            <v>0.1208</v>
          </cell>
          <cell r="I16">
            <v>13513</v>
          </cell>
          <cell r="J16">
            <v>1676</v>
          </cell>
          <cell r="K16">
            <v>0.124</v>
          </cell>
          <cell r="L16">
            <v>1666.5247999999999</v>
          </cell>
          <cell r="M16">
            <v>1.0056856000000001</v>
          </cell>
          <cell r="N16">
            <v>0.1183</v>
          </cell>
          <cell r="O16">
            <v>-2.07E-2</v>
          </cell>
          <cell r="P16">
            <v>-0.1336</v>
          </cell>
          <cell r="Q16">
            <v>-0.151534</v>
          </cell>
        </row>
        <row r="17">
          <cell r="A17">
            <v>210012</v>
          </cell>
          <cell r="B17" t="str">
            <v>Sinai</v>
          </cell>
          <cell r="C17">
            <v>15633</v>
          </cell>
          <cell r="D17">
            <v>2061</v>
          </cell>
          <cell r="E17">
            <v>0.1318</v>
          </cell>
          <cell r="F17">
            <v>1971.4973</v>
          </cell>
          <cell r="G17">
            <v>1.0453983</v>
          </cell>
          <cell r="H17">
            <v>0.123</v>
          </cell>
          <cell r="I17">
            <v>13880</v>
          </cell>
          <cell r="J17">
            <v>1665</v>
          </cell>
          <cell r="K17">
            <v>0.12</v>
          </cell>
          <cell r="L17">
            <v>1770.7698</v>
          </cell>
          <cell r="M17">
            <v>0.94026900000000002</v>
          </cell>
          <cell r="N17">
            <v>0.1106</v>
          </cell>
          <cell r="O17">
            <v>-0.1008</v>
          </cell>
          <cell r="P17">
            <v>-0.1668</v>
          </cell>
          <cell r="Q17">
            <v>-0.25078699999999998</v>
          </cell>
        </row>
        <row r="18">
          <cell r="A18">
            <v>210013</v>
          </cell>
          <cell r="B18" t="str">
            <v>Bon Secours</v>
          </cell>
          <cell r="C18">
            <v>3476</v>
          </cell>
          <cell r="D18">
            <v>764</v>
          </cell>
          <cell r="E18">
            <v>0.2198</v>
          </cell>
          <cell r="F18">
            <v>576.64233999999999</v>
          </cell>
          <cell r="G18">
            <v>1.3249114</v>
          </cell>
          <cell r="H18">
            <v>0.15590000000000001</v>
          </cell>
          <cell r="I18">
            <v>2887</v>
          </cell>
          <cell r="J18">
            <v>619</v>
          </cell>
          <cell r="K18">
            <v>0.21440000000000001</v>
          </cell>
          <cell r="L18">
            <v>481.05155999999999</v>
          </cell>
          <cell r="M18">
            <v>1.2867644</v>
          </cell>
          <cell r="N18">
            <v>0.15140000000000001</v>
          </cell>
          <cell r="O18">
            <v>-2.8899999999999999E-2</v>
          </cell>
          <cell r="P18">
            <v>-0.22770000000000001</v>
          </cell>
          <cell r="Q18">
            <v>-0.25001899999999999</v>
          </cell>
        </row>
        <row r="19">
          <cell r="A19">
            <v>210015</v>
          </cell>
          <cell r="B19" t="str">
            <v>MedStar Fr Square</v>
          </cell>
          <cell r="C19">
            <v>19118</v>
          </cell>
          <cell r="D19">
            <v>2544</v>
          </cell>
          <cell r="E19">
            <v>0.1331</v>
          </cell>
          <cell r="F19">
            <v>2351.8928000000001</v>
          </cell>
          <cell r="G19">
            <v>1.081682</v>
          </cell>
          <cell r="H19">
            <v>0.12720000000000001</v>
          </cell>
          <cell r="I19">
            <v>19336</v>
          </cell>
          <cell r="J19">
            <v>2623</v>
          </cell>
          <cell r="K19">
            <v>0.13569999999999999</v>
          </cell>
          <cell r="L19">
            <v>2465.9785999999999</v>
          </cell>
          <cell r="M19">
            <v>1.0636751</v>
          </cell>
          <cell r="N19">
            <v>0.12509999999999999</v>
          </cell>
          <cell r="O19">
            <v>-1.6500000000000001E-2</v>
          </cell>
          <cell r="P19">
            <v>-4.3299999999999998E-2</v>
          </cell>
          <cell r="Q19">
            <v>-5.9086E-2</v>
          </cell>
        </row>
        <row r="20">
          <cell r="A20">
            <v>210016</v>
          </cell>
          <cell r="B20" t="str">
            <v>Washington Adventist</v>
          </cell>
          <cell r="C20">
            <v>9399</v>
          </cell>
          <cell r="D20">
            <v>977</v>
          </cell>
          <cell r="E20">
            <v>0.10390000000000001</v>
          </cell>
          <cell r="F20">
            <v>1107.1315</v>
          </cell>
          <cell r="G20">
            <v>0.88246060000000004</v>
          </cell>
          <cell r="H20">
            <v>0.1038</v>
          </cell>
          <cell r="I20">
            <v>9210</v>
          </cell>
          <cell r="J20">
            <v>868</v>
          </cell>
          <cell r="K20">
            <v>9.4200000000000006E-2</v>
          </cell>
          <cell r="L20">
            <v>1046.674</v>
          </cell>
          <cell r="M20">
            <v>0.82929359999999996</v>
          </cell>
          <cell r="N20">
            <v>9.7600000000000006E-2</v>
          </cell>
          <cell r="O20">
            <v>-5.9700000000000003E-2</v>
          </cell>
          <cell r="P20">
            <v>-0.1077</v>
          </cell>
          <cell r="Q20">
            <v>-0.16097</v>
          </cell>
        </row>
        <row r="21">
          <cell r="A21">
            <v>210017</v>
          </cell>
          <cell r="B21" t="str">
            <v>Garrett</v>
          </cell>
          <cell r="C21">
            <v>1965</v>
          </cell>
          <cell r="D21">
            <v>104</v>
          </cell>
          <cell r="E21">
            <v>5.2900000000000003E-2</v>
          </cell>
          <cell r="F21">
            <v>208.52110999999999</v>
          </cell>
          <cell r="G21">
            <v>0.49875049999999999</v>
          </cell>
          <cell r="H21">
            <v>5.8700000000000002E-2</v>
          </cell>
          <cell r="I21">
            <v>1903</v>
          </cell>
          <cell r="J21">
            <v>130</v>
          </cell>
          <cell r="K21">
            <v>6.83E-2</v>
          </cell>
          <cell r="L21">
            <v>226.53945999999999</v>
          </cell>
          <cell r="M21">
            <v>0.57385149999999996</v>
          </cell>
          <cell r="N21">
            <v>6.7500000000000004E-2</v>
          </cell>
          <cell r="O21">
            <v>0.14990000000000001</v>
          </cell>
          <cell r="P21">
            <v>-0.1719</v>
          </cell>
          <cell r="Q21">
            <v>-4.7767999999999998E-2</v>
          </cell>
        </row>
        <row r="22">
          <cell r="A22">
            <v>210018</v>
          </cell>
          <cell r="B22" t="str">
            <v>MedStar Montgomery</v>
          </cell>
          <cell r="C22">
            <v>6529</v>
          </cell>
          <cell r="D22">
            <v>760</v>
          </cell>
          <cell r="E22">
            <v>0.1164</v>
          </cell>
          <cell r="F22">
            <v>826.02769000000001</v>
          </cell>
          <cell r="G22">
            <v>0.92006600000000005</v>
          </cell>
          <cell r="H22">
            <v>0.1082</v>
          </cell>
          <cell r="I22">
            <v>6191</v>
          </cell>
          <cell r="J22">
            <v>720</v>
          </cell>
          <cell r="K22">
            <v>0.1163</v>
          </cell>
          <cell r="L22">
            <v>795.28957000000003</v>
          </cell>
          <cell r="M22">
            <v>0.90533059999999999</v>
          </cell>
          <cell r="N22">
            <v>0.1065</v>
          </cell>
          <cell r="O22">
            <v>-1.5699999999999999E-2</v>
          </cell>
          <cell r="P22">
            <v>-0.14219999999999999</v>
          </cell>
          <cell r="Q22">
            <v>-0.155667</v>
          </cell>
        </row>
        <row r="23">
          <cell r="A23">
            <v>210019</v>
          </cell>
          <cell r="B23" t="str">
            <v>Peninsula</v>
          </cell>
          <cell r="C23">
            <v>16003</v>
          </cell>
          <cell r="D23">
            <v>1690</v>
          </cell>
          <cell r="E23">
            <v>0.1056</v>
          </cell>
          <cell r="F23">
            <v>1870.5971</v>
          </cell>
          <cell r="G23">
            <v>0.90345489999999995</v>
          </cell>
          <cell r="H23">
            <v>0.10630000000000001</v>
          </cell>
          <cell r="I23">
            <v>15429</v>
          </cell>
          <cell r="J23">
            <v>1730</v>
          </cell>
          <cell r="K23">
            <v>0.11210000000000001</v>
          </cell>
          <cell r="L23">
            <v>1914.2864</v>
          </cell>
          <cell r="M23">
            <v>0.90373099999999995</v>
          </cell>
          <cell r="N23">
            <v>0.10630000000000001</v>
          </cell>
          <cell r="O23">
            <v>0</v>
          </cell>
          <cell r="P23">
            <v>-5.2600000000000001E-2</v>
          </cell>
          <cell r="Q23">
            <v>-5.2600000000000001E-2</v>
          </cell>
        </row>
        <row r="24">
          <cell r="A24">
            <v>210022</v>
          </cell>
          <cell r="B24" t="str">
            <v>Suburban</v>
          </cell>
          <cell r="C24">
            <v>12477</v>
          </cell>
          <cell r="D24">
            <v>1441</v>
          </cell>
          <cell r="E24">
            <v>0.11550000000000001</v>
          </cell>
          <cell r="F24">
            <v>1510.8648000000001</v>
          </cell>
          <cell r="G24">
            <v>0.95375840000000001</v>
          </cell>
          <cell r="H24">
            <v>0.11219999999999999</v>
          </cell>
          <cell r="I24">
            <v>12934</v>
          </cell>
          <cell r="J24">
            <v>1435</v>
          </cell>
          <cell r="K24">
            <v>0.1109</v>
          </cell>
          <cell r="L24">
            <v>1633.1823999999999</v>
          </cell>
          <cell r="M24">
            <v>0.87865260000000001</v>
          </cell>
          <cell r="N24">
            <v>0.10340000000000001</v>
          </cell>
          <cell r="O24">
            <v>-7.8399999999999997E-2</v>
          </cell>
          <cell r="P24">
            <v>-1.9699999999999999E-2</v>
          </cell>
          <cell r="Q24">
            <v>-9.6556000000000003E-2</v>
          </cell>
        </row>
        <row r="25">
          <cell r="A25">
            <v>210023</v>
          </cell>
          <cell r="B25" t="str">
            <v>Anne Arundel</v>
          </cell>
          <cell r="C25">
            <v>24723</v>
          </cell>
          <cell r="D25">
            <v>2073</v>
          </cell>
          <cell r="E25">
            <v>8.3799999999999999E-2</v>
          </cell>
          <cell r="F25">
            <v>2170.5623000000001</v>
          </cell>
          <cell r="G25">
            <v>0.95505209999999996</v>
          </cell>
          <cell r="H25">
            <v>0.1123</v>
          </cell>
          <cell r="I25">
            <v>23041</v>
          </cell>
          <cell r="J25">
            <v>2128</v>
          </cell>
          <cell r="K25">
            <v>9.2399999999999996E-2</v>
          </cell>
          <cell r="L25">
            <v>2238.5317</v>
          </cell>
          <cell r="M25">
            <v>0.95062310000000005</v>
          </cell>
          <cell r="N25">
            <v>0.1118</v>
          </cell>
          <cell r="O25">
            <v>-4.4999999999999997E-3</v>
          </cell>
          <cell r="P25">
            <v>-9.5000000000000001E-2</v>
          </cell>
          <cell r="Q25">
            <v>-9.9071999999999993E-2</v>
          </cell>
        </row>
        <row r="26">
          <cell r="A26">
            <v>210024</v>
          </cell>
          <cell r="B26" t="str">
            <v>MedStar Union Mem</v>
          </cell>
          <cell r="C26">
            <v>10242</v>
          </cell>
          <cell r="D26">
            <v>1399</v>
          </cell>
          <cell r="E26">
            <v>0.1366</v>
          </cell>
          <cell r="F26">
            <v>1290.7022999999999</v>
          </cell>
          <cell r="G26">
            <v>1.083906</v>
          </cell>
          <cell r="H26">
            <v>0.1275</v>
          </cell>
          <cell r="I26">
            <v>9889</v>
          </cell>
          <cell r="J26">
            <v>1259</v>
          </cell>
          <cell r="K26">
            <v>0.1273</v>
          </cell>
          <cell r="L26">
            <v>1259.8445999999999</v>
          </cell>
          <cell r="M26">
            <v>0.99932960000000004</v>
          </cell>
          <cell r="N26">
            <v>0.1176</v>
          </cell>
          <cell r="O26">
            <v>-7.7600000000000002E-2</v>
          </cell>
          <cell r="P26">
            <v>-0.14560000000000001</v>
          </cell>
          <cell r="Q26">
            <v>-0.21190100000000001</v>
          </cell>
        </row>
        <row r="27">
          <cell r="A27">
            <v>210027</v>
          </cell>
          <cell r="B27" t="str">
            <v>Western Maryland</v>
          </cell>
          <cell r="C27">
            <v>10387</v>
          </cell>
          <cell r="D27">
            <v>1277</v>
          </cell>
          <cell r="E27">
            <v>0.1229</v>
          </cell>
          <cell r="F27">
            <v>1331.3648000000001</v>
          </cell>
          <cell r="G27">
            <v>0.95916610000000002</v>
          </cell>
          <cell r="H27">
            <v>0.1128</v>
          </cell>
          <cell r="I27">
            <v>9885</v>
          </cell>
          <cell r="J27">
            <v>1156</v>
          </cell>
          <cell r="K27">
            <v>0.1169</v>
          </cell>
          <cell r="L27">
            <v>1330.6022</v>
          </cell>
          <cell r="M27">
            <v>0.86877959999999999</v>
          </cell>
          <cell r="N27">
            <v>0.1022</v>
          </cell>
          <cell r="O27">
            <v>-9.4E-2</v>
          </cell>
          <cell r="P27">
            <v>-9.7500000000000003E-2</v>
          </cell>
          <cell r="Q27">
            <v>-0.182335</v>
          </cell>
        </row>
        <row r="28">
          <cell r="A28">
            <v>210028</v>
          </cell>
          <cell r="B28" t="str">
            <v>MedStar St. Mary's</v>
          </cell>
          <cell r="C28">
            <v>7412</v>
          </cell>
          <cell r="D28">
            <v>733</v>
          </cell>
          <cell r="E28">
            <v>9.8900000000000002E-2</v>
          </cell>
          <cell r="F28">
            <v>798.50149999999996</v>
          </cell>
          <cell r="G28">
            <v>0.91796949999999999</v>
          </cell>
          <cell r="H28">
            <v>0.108</v>
          </cell>
          <cell r="I28">
            <v>6045</v>
          </cell>
          <cell r="J28">
            <v>605</v>
          </cell>
          <cell r="K28">
            <v>0.10009999999999999</v>
          </cell>
          <cell r="L28">
            <v>666.75166999999999</v>
          </cell>
          <cell r="M28">
            <v>0.90738430000000003</v>
          </cell>
          <cell r="N28">
            <v>0.1067</v>
          </cell>
          <cell r="O28">
            <v>-1.2E-2</v>
          </cell>
          <cell r="P28">
            <v>-0.16389999999999999</v>
          </cell>
          <cell r="Q28">
            <v>-0.173933</v>
          </cell>
        </row>
        <row r="29">
          <cell r="A29">
            <v>210029</v>
          </cell>
          <cell r="B29" t="str">
            <v>JH Bayview</v>
          </cell>
          <cell r="C29">
            <v>17459</v>
          </cell>
          <cell r="D29">
            <v>2703</v>
          </cell>
          <cell r="E29">
            <v>0.15479999999999999</v>
          </cell>
          <cell r="F29">
            <v>2215.8555000000001</v>
          </cell>
          <cell r="G29">
            <v>1.2198449</v>
          </cell>
          <cell r="H29">
            <v>0.14349999999999999</v>
          </cell>
          <cell r="I29">
            <v>16963</v>
          </cell>
          <cell r="J29">
            <v>2509</v>
          </cell>
          <cell r="K29">
            <v>0.1479</v>
          </cell>
          <cell r="L29">
            <v>2199.3579</v>
          </cell>
          <cell r="M29">
            <v>1.1407875000000001</v>
          </cell>
          <cell r="N29">
            <v>0.13420000000000001</v>
          </cell>
          <cell r="O29">
            <v>-6.4799999999999996E-2</v>
          </cell>
          <cell r="P29">
            <v>-7.2499999999999995E-2</v>
          </cell>
          <cell r="Q29">
            <v>-0.132602</v>
          </cell>
        </row>
        <row r="30">
          <cell r="A30">
            <v>210030</v>
          </cell>
          <cell r="B30" t="str">
            <v>UM-Chestertown</v>
          </cell>
          <cell r="C30">
            <v>1438</v>
          </cell>
          <cell r="D30">
            <v>221</v>
          </cell>
          <cell r="E30">
            <v>0.1537</v>
          </cell>
          <cell r="F30">
            <v>185.63549</v>
          </cell>
          <cell r="G30">
            <v>1.1905051</v>
          </cell>
          <cell r="H30">
            <v>0.14000000000000001</v>
          </cell>
          <cell r="I30">
            <v>854</v>
          </cell>
          <cell r="J30">
            <v>75</v>
          </cell>
          <cell r="K30">
            <v>8.7800000000000003E-2</v>
          </cell>
          <cell r="L30">
            <v>126.22811</v>
          </cell>
          <cell r="M30">
            <v>0.59416239999999998</v>
          </cell>
          <cell r="N30">
            <v>6.9900000000000004E-2</v>
          </cell>
          <cell r="O30">
            <v>-0.50070000000000003</v>
          </cell>
          <cell r="P30">
            <v>3.7100000000000001E-2</v>
          </cell>
          <cell r="Q30">
            <v>-0.48217599999999999</v>
          </cell>
        </row>
        <row r="31">
          <cell r="A31">
            <v>210032</v>
          </cell>
          <cell r="B31" t="str">
            <v>Union of Cecil</v>
          </cell>
          <cell r="C31">
            <v>5310</v>
          </cell>
          <cell r="D31">
            <v>589</v>
          </cell>
          <cell r="E31">
            <v>0.1109</v>
          </cell>
          <cell r="F31">
            <v>664.46190999999999</v>
          </cell>
          <cell r="G31">
            <v>0.88643159999999999</v>
          </cell>
          <cell r="H31">
            <v>0.1043</v>
          </cell>
          <cell r="I31">
            <v>4705</v>
          </cell>
          <cell r="J31">
            <v>529</v>
          </cell>
          <cell r="K31">
            <v>0.1124</v>
          </cell>
          <cell r="L31">
            <v>604.68140000000005</v>
          </cell>
          <cell r="M31">
            <v>0.87484090000000003</v>
          </cell>
          <cell r="N31">
            <v>0.10290000000000001</v>
          </cell>
          <cell r="O31">
            <v>-1.34E-2</v>
          </cell>
          <cell r="P31">
            <v>4.2900000000000001E-2</v>
          </cell>
          <cell r="Q31">
            <v>2.8925099999999999E-2</v>
          </cell>
        </row>
        <row r="32">
          <cell r="A32">
            <v>210033</v>
          </cell>
          <cell r="B32" t="str">
            <v>Carroll</v>
          </cell>
          <cell r="C32">
            <v>9130</v>
          </cell>
          <cell r="D32">
            <v>1058</v>
          </cell>
          <cell r="E32">
            <v>0.1159</v>
          </cell>
          <cell r="F32">
            <v>1103.2249999999999</v>
          </cell>
          <cell r="G32">
            <v>0.95900649999999998</v>
          </cell>
          <cell r="H32">
            <v>0.1128</v>
          </cell>
          <cell r="I32">
            <v>9555</v>
          </cell>
          <cell r="J32">
            <v>1139</v>
          </cell>
          <cell r="K32">
            <v>0.1192</v>
          </cell>
          <cell r="L32">
            <v>1196.4574</v>
          </cell>
          <cell r="M32">
            <v>0.95197710000000002</v>
          </cell>
          <cell r="N32">
            <v>0.112</v>
          </cell>
          <cell r="O32">
            <v>-7.1000000000000004E-3</v>
          </cell>
          <cell r="P32">
            <v>-8.6199999999999999E-2</v>
          </cell>
          <cell r="Q32">
            <v>-9.2688000000000006E-2</v>
          </cell>
        </row>
        <row r="33">
          <cell r="A33">
            <v>210034</v>
          </cell>
          <cell r="B33" t="str">
            <v>MedStar Harbor</v>
          </cell>
          <cell r="C33">
            <v>6241</v>
          </cell>
          <cell r="D33">
            <v>749</v>
          </cell>
          <cell r="E33">
            <v>0.12</v>
          </cell>
          <cell r="F33">
            <v>725.55781999999999</v>
          </cell>
          <cell r="G33">
            <v>1.0323092</v>
          </cell>
          <cell r="H33">
            <v>0.12139999999999999</v>
          </cell>
          <cell r="I33">
            <v>6799</v>
          </cell>
          <cell r="J33">
            <v>967</v>
          </cell>
          <cell r="K33">
            <v>0.14219999999999999</v>
          </cell>
          <cell r="L33">
            <v>844.28994999999998</v>
          </cell>
          <cell r="M33">
            <v>1.1453411</v>
          </cell>
          <cell r="N33">
            <v>0.13469999999999999</v>
          </cell>
          <cell r="O33">
            <v>0.1096</v>
          </cell>
          <cell r="P33">
            <v>-6.7599999999999993E-2</v>
          </cell>
          <cell r="Q33">
            <v>3.4590999999999997E-2</v>
          </cell>
        </row>
        <row r="34">
          <cell r="A34">
            <v>210035</v>
          </cell>
          <cell r="B34" t="str">
            <v>UM-Charles Regional</v>
          </cell>
          <cell r="C34">
            <v>5941</v>
          </cell>
          <cell r="D34">
            <v>621</v>
          </cell>
          <cell r="E34">
            <v>0.1045</v>
          </cell>
          <cell r="F34">
            <v>745.32123000000001</v>
          </cell>
          <cell r="G34">
            <v>0.83319779999999999</v>
          </cell>
          <cell r="H34">
            <v>9.8000000000000004E-2</v>
          </cell>
          <cell r="I34">
            <v>5834</v>
          </cell>
          <cell r="J34">
            <v>642</v>
          </cell>
          <cell r="K34">
            <v>0.11</v>
          </cell>
          <cell r="L34">
            <v>766.94822999999997</v>
          </cell>
          <cell r="M34">
            <v>0.83708389999999999</v>
          </cell>
          <cell r="N34">
            <v>9.8500000000000004E-2</v>
          </cell>
          <cell r="O34">
            <v>5.1000000000000004E-3</v>
          </cell>
          <cell r="P34">
            <v>-0.19</v>
          </cell>
          <cell r="Q34">
            <v>-0.18586900000000001</v>
          </cell>
        </row>
        <row r="35">
          <cell r="A35">
            <v>210037</v>
          </cell>
          <cell r="B35" t="str">
            <v>UM-Easton</v>
          </cell>
          <cell r="C35">
            <v>6617</v>
          </cell>
          <cell r="D35">
            <v>653</v>
          </cell>
          <cell r="E35">
            <v>9.8699999999999996E-2</v>
          </cell>
          <cell r="F35">
            <v>706.79672000000005</v>
          </cell>
          <cell r="G35">
            <v>0.9238866</v>
          </cell>
          <cell r="H35">
            <v>0.1087</v>
          </cell>
          <cell r="I35">
            <v>5654</v>
          </cell>
          <cell r="J35">
            <v>477</v>
          </cell>
          <cell r="K35">
            <v>8.4400000000000003E-2</v>
          </cell>
          <cell r="L35">
            <v>644.84077000000002</v>
          </cell>
          <cell r="M35">
            <v>0.73971750000000003</v>
          </cell>
          <cell r="N35">
            <v>8.6999999999999994E-2</v>
          </cell>
          <cell r="O35">
            <v>-0.1996</v>
          </cell>
          <cell r="P35">
            <v>2.3699999999999999E-2</v>
          </cell>
          <cell r="Q35">
            <v>-0.18063100000000001</v>
          </cell>
        </row>
        <row r="36">
          <cell r="A36">
            <v>210038</v>
          </cell>
          <cell r="B36" t="str">
            <v>UMMC Midtown</v>
          </cell>
          <cell r="C36">
            <v>3917</v>
          </cell>
          <cell r="D36">
            <v>799</v>
          </cell>
          <cell r="E36">
            <v>0.20399999999999999</v>
          </cell>
          <cell r="F36">
            <v>623.22068999999999</v>
          </cell>
          <cell r="G36">
            <v>1.2820499000000001</v>
          </cell>
          <cell r="H36">
            <v>0.15079999999999999</v>
          </cell>
          <cell r="I36">
            <v>3850</v>
          </cell>
          <cell r="J36">
            <v>759</v>
          </cell>
          <cell r="K36">
            <v>0.1971</v>
          </cell>
          <cell r="L36">
            <v>629.33168999999998</v>
          </cell>
          <cell r="M36">
            <v>1.2060413000000001</v>
          </cell>
          <cell r="N36">
            <v>0.1419</v>
          </cell>
          <cell r="O36">
            <v>-5.8999999999999997E-2</v>
          </cell>
          <cell r="P36">
            <v>-0.112</v>
          </cell>
          <cell r="Q36">
            <v>-0.16439200000000001</v>
          </cell>
        </row>
        <row r="37">
          <cell r="A37">
            <v>210039</v>
          </cell>
          <cell r="B37" t="str">
            <v>Calvert</v>
          </cell>
          <cell r="C37">
            <v>4952</v>
          </cell>
          <cell r="D37">
            <v>454</v>
          </cell>
          <cell r="E37">
            <v>9.1700000000000004E-2</v>
          </cell>
          <cell r="F37">
            <v>598.60297000000003</v>
          </cell>
          <cell r="G37">
            <v>0.75843260000000001</v>
          </cell>
          <cell r="H37">
            <v>8.9200000000000002E-2</v>
          </cell>
          <cell r="I37">
            <v>5148</v>
          </cell>
          <cell r="J37">
            <v>553</v>
          </cell>
          <cell r="K37">
            <v>0.1074</v>
          </cell>
          <cell r="L37">
            <v>666.24590999999998</v>
          </cell>
          <cell r="M37">
            <v>0.83002390000000004</v>
          </cell>
          <cell r="N37">
            <v>9.7600000000000006E-2</v>
          </cell>
          <cell r="O37">
            <v>9.4200000000000006E-2</v>
          </cell>
          <cell r="P37">
            <v>-0.1008</v>
          </cell>
          <cell r="Q37">
            <v>-1.6095000000000002E-2</v>
          </cell>
        </row>
        <row r="38">
          <cell r="A38">
            <v>210040</v>
          </cell>
          <cell r="B38" t="str">
            <v>Northwest</v>
          </cell>
          <cell r="C38">
            <v>9983</v>
          </cell>
          <cell r="D38">
            <v>1521</v>
          </cell>
          <cell r="E38">
            <v>0.15240000000000001</v>
          </cell>
          <cell r="F38">
            <v>1429.8735999999999</v>
          </cell>
          <cell r="G38">
            <v>1.0637304000000001</v>
          </cell>
          <cell r="H38">
            <v>0.12509999999999999</v>
          </cell>
          <cell r="I38">
            <v>9194</v>
          </cell>
          <cell r="J38">
            <v>1260</v>
          </cell>
          <cell r="K38">
            <v>0.13700000000000001</v>
          </cell>
          <cell r="L38">
            <v>1389.5084999999999</v>
          </cell>
          <cell r="M38">
            <v>0.90679540000000003</v>
          </cell>
          <cell r="N38">
            <v>0.1067</v>
          </cell>
          <cell r="O38">
            <v>-0.14710000000000001</v>
          </cell>
          <cell r="P38">
            <v>-0.1918</v>
          </cell>
          <cell r="Q38">
            <v>-0.31068600000000002</v>
          </cell>
        </row>
        <row r="39">
          <cell r="A39">
            <v>210043</v>
          </cell>
          <cell r="B39" t="str">
            <v>UM-BWMC</v>
          </cell>
          <cell r="C39">
            <v>15425</v>
          </cell>
          <cell r="D39">
            <v>2156</v>
          </cell>
          <cell r="E39">
            <v>0.13980000000000001</v>
          </cell>
          <cell r="F39">
            <v>2038.2307000000001</v>
          </cell>
          <cell r="G39">
            <v>1.0577802000000001</v>
          </cell>
          <cell r="H39">
            <v>0.1244</v>
          </cell>
          <cell r="I39">
            <v>14547</v>
          </cell>
          <cell r="J39">
            <v>1926</v>
          </cell>
          <cell r="K39">
            <v>0.13239999999999999</v>
          </cell>
          <cell r="L39">
            <v>2061.5234</v>
          </cell>
          <cell r="M39">
            <v>0.9342606</v>
          </cell>
          <cell r="N39">
            <v>0.1099</v>
          </cell>
          <cell r="O39">
            <v>-0.1166</v>
          </cell>
          <cell r="P39">
            <v>-0.13350000000000001</v>
          </cell>
          <cell r="Q39">
            <v>-0.23453399999999999</v>
          </cell>
        </row>
        <row r="40">
          <cell r="A40">
            <v>210044</v>
          </cell>
          <cell r="B40" t="str">
            <v>GBMC</v>
          </cell>
          <cell r="C40">
            <v>15123</v>
          </cell>
          <cell r="D40">
            <v>1224</v>
          </cell>
          <cell r="E40">
            <v>8.09E-2</v>
          </cell>
          <cell r="F40">
            <v>1357.779</v>
          </cell>
          <cell r="G40">
            <v>0.90147219999999995</v>
          </cell>
          <cell r="H40">
            <v>0.106</v>
          </cell>
          <cell r="I40">
            <v>16420</v>
          </cell>
          <cell r="J40">
            <v>1384</v>
          </cell>
          <cell r="K40">
            <v>8.43E-2</v>
          </cell>
          <cell r="L40">
            <v>1592.0591999999999</v>
          </cell>
          <cell r="M40">
            <v>0.86931440000000004</v>
          </cell>
          <cell r="N40">
            <v>0.1023</v>
          </cell>
          <cell r="O40">
            <v>-3.49E-2</v>
          </cell>
          <cell r="P40">
            <v>-6.2600000000000003E-2</v>
          </cell>
          <cell r="Q40">
            <v>-9.5314999999999997E-2</v>
          </cell>
        </row>
        <row r="41">
          <cell r="A41">
            <v>210045</v>
          </cell>
          <cell r="B41" t="str">
            <v>McCready</v>
          </cell>
          <cell r="C41">
            <v>261</v>
          </cell>
          <cell r="D41">
            <v>36</v>
          </cell>
          <cell r="E41">
            <v>0.13789999999999999</v>
          </cell>
          <cell r="F41">
            <v>32.997594999999997</v>
          </cell>
          <cell r="G41">
            <v>1.0909886</v>
          </cell>
          <cell r="H41">
            <v>0.1283</v>
          </cell>
          <cell r="I41">
            <v>194</v>
          </cell>
          <cell r="J41">
            <v>22</v>
          </cell>
          <cell r="K41">
            <v>0.1134</v>
          </cell>
          <cell r="L41">
            <v>23.073885000000001</v>
          </cell>
          <cell r="M41">
            <v>0.9534589</v>
          </cell>
          <cell r="N41">
            <v>0.11219999999999999</v>
          </cell>
          <cell r="O41">
            <v>-0.1255</v>
          </cell>
          <cell r="P41">
            <v>7.0400000000000004E-2</v>
          </cell>
          <cell r="Q41">
            <v>-6.3935000000000006E-2</v>
          </cell>
        </row>
        <row r="42">
          <cell r="A42">
            <v>210048</v>
          </cell>
          <cell r="B42" t="str">
            <v>Howard County</v>
          </cell>
          <cell r="C42">
            <v>16001</v>
          </cell>
          <cell r="D42">
            <v>1661</v>
          </cell>
          <cell r="E42">
            <v>0.1038</v>
          </cell>
          <cell r="F42">
            <v>1708.4462000000001</v>
          </cell>
          <cell r="G42">
            <v>0.97222839999999999</v>
          </cell>
          <cell r="H42">
            <v>0.1144</v>
          </cell>
          <cell r="I42">
            <v>13281</v>
          </cell>
          <cell r="J42">
            <v>1369</v>
          </cell>
          <cell r="K42">
            <v>0.1031</v>
          </cell>
          <cell r="L42">
            <v>1506.7393</v>
          </cell>
          <cell r="M42">
            <v>0.90858450000000002</v>
          </cell>
          <cell r="N42">
            <v>0.1069</v>
          </cell>
          <cell r="O42">
            <v>-6.5600000000000006E-2</v>
          </cell>
          <cell r="P42">
            <v>-4.9200000000000001E-2</v>
          </cell>
          <cell r="Q42">
            <v>-0.111572</v>
          </cell>
        </row>
        <row r="43">
          <cell r="A43">
            <v>210049</v>
          </cell>
          <cell r="B43" t="str">
            <v>UM-Upper Chesapeake</v>
          </cell>
          <cell r="C43">
            <v>10626</v>
          </cell>
          <cell r="D43">
            <v>1176</v>
          </cell>
          <cell r="E43">
            <v>0.11070000000000001</v>
          </cell>
          <cell r="F43">
            <v>1252.3344</v>
          </cell>
          <cell r="G43">
            <v>0.9390463</v>
          </cell>
          <cell r="H43">
            <v>0.1105</v>
          </cell>
          <cell r="I43">
            <v>9603</v>
          </cell>
          <cell r="J43">
            <v>1109</v>
          </cell>
          <cell r="K43">
            <v>0.11550000000000001</v>
          </cell>
          <cell r="L43">
            <v>1206.9378999999999</v>
          </cell>
          <cell r="M43">
            <v>0.91885419999999995</v>
          </cell>
          <cell r="N43">
            <v>0.1081</v>
          </cell>
          <cell r="O43">
            <v>-2.1700000000000001E-2</v>
          </cell>
          <cell r="P43">
            <v>-5.8700000000000002E-2</v>
          </cell>
          <cell r="Q43">
            <v>-7.9126000000000002E-2</v>
          </cell>
        </row>
        <row r="44">
          <cell r="A44">
            <v>210051</v>
          </cell>
          <cell r="B44" t="str">
            <v>Doctors</v>
          </cell>
          <cell r="C44">
            <v>9258</v>
          </cell>
          <cell r="D44">
            <v>1335</v>
          </cell>
          <cell r="E44">
            <v>0.14419999999999999</v>
          </cell>
          <cell r="F44">
            <v>1347.9093</v>
          </cell>
          <cell r="G44">
            <v>0.99042269999999999</v>
          </cell>
          <cell r="H44">
            <v>0.11650000000000001</v>
          </cell>
          <cell r="I44">
            <v>9111</v>
          </cell>
          <cell r="J44">
            <v>1103</v>
          </cell>
          <cell r="K44">
            <v>0.1211</v>
          </cell>
          <cell r="L44">
            <v>1346.4204999999999</v>
          </cell>
          <cell r="M44">
            <v>0.81920919999999997</v>
          </cell>
          <cell r="N44">
            <v>9.64E-2</v>
          </cell>
          <cell r="O44">
            <v>-0.17249999999999999</v>
          </cell>
          <cell r="P44">
            <v>-0.1041</v>
          </cell>
          <cell r="Q44">
            <v>-0.25864300000000001</v>
          </cell>
        </row>
        <row r="45">
          <cell r="A45">
            <v>210055</v>
          </cell>
          <cell r="B45" t="str">
            <v>UM-Laurel</v>
          </cell>
          <cell r="C45">
            <v>3235</v>
          </cell>
          <cell r="D45">
            <v>501</v>
          </cell>
          <cell r="E45">
            <v>0.15490000000000001</v>
          </cell>
          <cell r="F45">
            <v>482.31999000000002</v>
          </cell>
          <cell r="G45">
            <v>1.0387295000000001</v>
          </cell>
          <cell r="H45">
            <v>0.1222</v>
          </cell>
          <cell r="I45">
            <v>2998</v>
          </cell>
          <cell r="J45">
            <v>426</v>
          </cell>
          <cell r="K45">
            <v>0.1421</v>
          </cell>
          <cell r="L45">
            <v>433.61308000000002</v>
          </cell>
          <cell r="M45">
            <v>0.9824427</v>
          </cell>
          <cell r="N45">
            <v>0.11559999999999999</v>
          </cell>
          <cell r="O45">
            <v>-5.3999999999999999E-2</v>
          </cell>
          <cell r="P45">
            <v>-0.16489999999999999</v>
          </cell>
          <cell r="Q45">
            <v>-0.20999499999999999</v>
          </cell>
        </row>
        <row r="46">
          <cell r="A46">
            <v>210056</v>
          </cell>
          <cell r="B46" t="str">
            <v>MedStar Good Sam</v>
          </cell>
          <cell r="C46">
            <v>7425</v>
          </cell>
          <cell r="D46">
            <v>1149</v>
          </cell>
          <cell r="E46">
            <v>0.1547</v>
          </cell>
          <cell r="F46">
            <v>1123.9559999999999</v>
          </cell>
          <cell r="G46">
            <v>1.0222819999999999</v>
          </cell>
          <cell r="H46">
            <v>0.1203</v>
          </cell>
          <cell r="I46">
            <v>6591</v>
          </cell>
          <cell r="J46">
            <v>1191</v>
          </cell>
          <cell r="K46">
            <v>0.1807</v>
          </cell>
          <cell r="L46">
            <v>1062.6990000000001</v>
          </cell>
          <cell r="M46">
            <v>1.1207313000000001</v>
          </cell>
          <cell r="N46">
            <v>0.1318</v>
          </cell>
          <cell r="O46">
            <v>9.5600000000000004E-2</v>
          </cell>
          <cell r="P46">
            <v>-0.18049999999999999</v>
          </cell>
          <cell r="Q46">
            <v>-0.102156</v>
          </cell>
        </row>
        <row r="47">
          <cell r="A47">
            <v>210057</v>
          </cell>
          <cell r="B47" t="str">
            <v>Shady Grove</v>
          </cell>
          <cell r="C47">
            <v>16041</v>
          </cell>
          <cell r="D47">
            <v>1256</v>
          </cell>
          <cell r="E47">
            <v>7.8299999999999995E-2</v>
          </cell>
          <cell r="F47">
            <v>1476.9467</v>
          </cell>
          <cell r="G47">
            <v>0.85040300000000002</v>
          </cell>
          <cell r="H47">
            <v>0.1</v>
          </cell>
          <cell r="I47">
            <v>14836</v>
          </cell>
          <cell r="J47">
            <v>1148</v>
          </cell>
          <cell r="K47">
            <v>7.7399999999999997E-2</v>
          </cell>
          <cell r="L47">
            <v>1397.0816</v>
          </cell>
          <cell r="M47">
            <v>0.82171289999999997</v>
          </cell>
          <cell r="N47">
            <v>9.6699999999999994E-2</v>
          </cell>
          <cell r="O47">
            <v>-3.3000000000000002E-2</v>
          </cell>
          <cell r="P47">
            <v>-9.7299999999999998E-2</v>
          </cell>
          <cell r="Q47">
            <v>-0.12708900000000001</v>
          </cell>
        </row>
        <row r="48">
          <cell r="A48">
            <v>210058</v>
          </cell>
          <cell r="B48" t="str">
            <v>UMROI</v>
          </cell>
          <cell r="C48">
            <v>583</v>
          </cell>
          <cell r="D48">
            <v>38</v>
          </cell>
          <cell r="E48">
            <v>6.5199999999999994E-2</v>
          </cell>
          <cell r="F48">
            <v>45.981197999999999</v>
          </cell>
          <cell r="G48">
            <v>0.82642479999999996</v>
          </cell>
          <cell r="H48">
            <v>9.7199999999999995E-2</v>
          </cell>
          <cell r="I48">
            <v>480</v>
          </cell>
          <cell r="J48">
            <v>24</v>
          </cell>
          <cell r="K48">
            <v>0.05</v>
          </cell>
          <cell r="L48">
            <v>37.028551999999998</v>
          </cell>
          <cell r="M48">
            <v>0.64814850000000002</v>
          </cell>
          <cell r="N48">
            <v>7.6200000000000004E-2</v>
          </cell>
          <cell r="O48">
            <v>-0.216</v>
          </cell>
          <cell r="P48">
            <v>-0.1065</v>
          </cell>
          <cell r="Q48">
            <v>-0.29949599999999998</v>
          </cell>
        </row>
        <row r="49">
          <cell r="A49">
            <v>210060</v>
          </cell>
          <cell r="B49" t="str">
            <v>Ft. Washington</v>
          </cell>
          <cell r="C49">
            <v>2142</v>
          </cell>
          <cell r="D49">
            <v>247</v>
          </cell>
          <cell r="E49">
            <v>0.1153</v>
          </cell>
          <cell r="F49">
            <v>306.56644</v>
          </cell>
          <cell r="G49">
            <v>0.80569809999999997</v>
          </cell>
          <cell r="H49">
            <v>9.4799999999999995E-2</v>
          </cell>
          <cell r="I49">
            <v>1975</v>
          </cell>
          <cell r="J49">
            <v>205</v>
          </cell>
          <cell r="K49">
            <v>0.1038</v>
          </cell>
          <cell r="L49">
            <v>294.84647999999999</v>
          </cell>
          <cell r="M49">
            <v>0.69527709999999998</v>
          </cell>
          <cell r="N49">
            <v>8.1799999999999998E-2</v>
          </cell>
          <cell r="O49">
            <v>-0.1371</v>
          </cell>
          <cell r="P49">
            <v>-0.27410000000000001</v>
          </cell>
          <cell r="Q49">
            <v>-0.37362099999999998</v>
          </cell>
        </row>
        <row r="50">
          <cell r="A50">
            <v>210061</v>
          </cell>
          <cell r="B50" t="str">
            <v>Atlantic General</v>
          </cell>
          <cell r="C50">
            <v>3161</v>
          </cell>
          <cell r="D50">
            <v>317</v>
          </cell>
          <cell r="E50">
            <v>0.1003</v>
          </cell>
          <cell r="F50">
            <v>417.43198000000001</v>
          </cell>
          <cell r="G50">
            <v>0.7594052</v>
          </cell>
          <cell r="H50">
            <v>8.9300000000000004E-2</v>
          </cell>
          <cell r="I50">
            <v>2961</v>
          </cell>
          <cell r="J50">
            <v>325</v>
          </cell>
          <cell r="K50">
            <v>0.10979999999999999</v>
          </cell>
          <cell r="L50">
            <v>403.30653999999998</v>
          </cell>
          <cell r="M50">
            <v>0.80583859999999996</v>
          </cell>
          <cell r="N50">
            <v>9.4799999999999995E-2</v>
          </cell>
          <cell r="O50">
            <v>6.1600000000000002E-2</v>
          </cell>
          <cell r="P50">
            <v>-0.25019999999999998</v>
          </cell>
          <cell r="Q50">
            <v>-0.204012</v>
          </cell>
        </row>
        <row r="51">
          <cell r="A51">
            <v>210062</v>
          </cell>
          <cell r="B51" t="str">
            <v>MedStar Southern MD</v>
          </cell>
          <cell r="C51">
            <v>9777</v>
          </cell>
          <cell r="D51">
            <v>1195</v>
          </cell>
          <cell r="E51">
            <v>0.1222</v>
          </cell>
          <cell r="F51">
            <v>1249.3431</v>
          </cell>
          <cell r="G51">
            <v>0.95650270000000004</v>
          </cell>
          <cell r="H51">
            <v>0.1125</v>
          </cell>
          <cell r="I51">
            <v>9189</v>
          </cell>
          <cell r="J51">
            <v>973</v>
          </cell>
          <cell r="K51">
            <v>0.10589999999999999</v>
          </cell>
          <cell r="L51">
            <v>1211.0658000000001</v>
          </cell>
          <cell r="M51">
            <v>0.80342449999999999</v>
          </cell>
          <cell r="N51">
            <v>9.4500000000000001E-2</v>
          </cell>
          <cell r="O51">
            <v>-0.16</v>
          </cell>
          <cell r="P51">
            <v>-7.6300000000000007E-2</v>
          </cell>
          <cell r="Q51">
            <v>-0.22409200000000001</v>
          </cell>
        </row>
        <row r="52">
          <cell r="A52">
            <v>210063</v>
          </cell>
          <cell r="B52" t="str">
            <v>UM-St. Joe</v>
          </cell>
          <cell r="C52">
            <v>14433</v>
          </cell>
          <cell r="D52">
            <v>1320</v>
          </cell>
          <cell r="E52">
            <v>9.1499999999999998E-2</v>
          </cell>
          <cell r="F52">
            <v>1438.5156999999999</v>
          </cell>
          <cell r="G52">
            <v>0.91761250000000005</v>
          </cell>
          <cell r="H52">
            <v>0.1079</v>
          </cell>
          <cell r="I52">
            <v>13635</v>
          </cell>
          <cell r="J52">
            <v>1303</v>
          </cell>
          <cell r="K52">
            <v>9.5600000000000004E-2</v>
          </cell>
          <cell r="L52">
            <v>1461.6420000000001</v>
          </cell>
          <cell r="M52">
            <v>0.89146320000000001</v>
          </cell>
          <cell r="N52">
            <v>0.10489999999999999</v>
          </cell>
          <cell r="O52">
            <v>-2.7799999999999998E-2</v>
          </cell>
          <cell r="P52">
            <v>-0.10290000000000001</v>
          </cell>
          <cell r="Q52">
            <v>-0.12783900000000001</v>
          </cell>
        </row>
        <row r="53">
          <cell r="A53">
            <v>210064</v>
          </cell>
          <cell r="B53" t="str">
            <v>Levindale</v>
          </cell>
          <cell r="C53">
            <v>1123</v>
          </cell>
          <cell r="D53">
            <v>145</v>
          </cell>
          <cell r="E53">
            <v>0.12909999999999999</v>
          </cell>
          <cell r="F53">
            <v>161.03226000000001</v>
          </cell>
          <cell r="G53">
            <v>0.90044069999999998</v>
          </cell>
          <cell r="H53">
            <v>0.10589999999999999</v>
          </cell>
          <cell r="I53">
            <v>1012</v>
          </cell>
          <cell r="J53">
            <v>137</v>
          </cell>
          <cell r="K53">
            <v>0.13539999999999999</v>
          </cell>
          <cell r="L53">
            <v>144.03528</v>
          </cell>
          <cell r="M53">
            <v>0.95115590000000005</v>
          </cell>
          <cell r="N53">
            <v>0.1119</v>
          </cell>
          <cell r="O53">
            <v>5.67E-2</v>
          </cell>
          <cell r="P53">
            <v>-0.28839999999999999</v>
          </cell>
          <cell r="Q53">
            <v>-0.24805199999999999</v>
          </cell>
        </row>
        <row r="54">
          <cell r="A54">
            <v>210065</v>
          </cell>
          <cell r="B54" t="str">
            <v>HC-Germantown</v>
          </cell>
          <cell r="C54">
            <v>4364</v>
          </cell>
          <cell r="D54">
            <v>462</v>
          </cell>
          <cell r="E54">
            <v>0.10589999999999999</v>
          </cell>
          <cell r="F54">
            <v>506.73451</v>
          </cell>
          <cell r="G54">
            <v>0.91171999999999997</v>
          </cell>
          <cell r="H54">
            <v>0.1072</v>
          </cell>
          <cell r="I54">
            <v>4476</v>
          </cell>
          <cell r="J54">
            <v>490</v>
          </cell>
          <cell r="K54">
            <v>0.1095</v>
          </cell>
          <cell r="L54">
            <v>514.34609999999998</v>
          </cell>
          <cell r="M54">
            <v>0.95266589999999995</v>
          </cell>
          <cell r="N54">
            <v>0.11210000000000001</v>
          </cell>
          <cell r="O54">
            <v>4.5699999999999998E-2</v>
          </cell>
          <cell r="P54" t="str">
            <v xml:space="preserve"> </v>
          </cell>
          <cell r="Q54" t="str">
            <v xml:space="preserve"> </v>
          </cell>
        </row>
        <row r="55">
          <cell r="A55" t="str">
            <v xml:space="preserve"> </v>
          </cell>
          <cell r="B55" t="str">
            <v>STATEWIDE</v>
          </cell>
          <cell r="C55">
            <v>496826</v>
          </cell>
          <cell r="D55">
            <v>58448</v>
          </cell>
          <cell r="E55">
            <v>0.1176</v>
          </cell>
          <cell r="F55">
            <v>58443.506000000001</v>
          </cell>
          <cell r="G55">
            <v>1.0000769</v>
          </cell>
          <cell r="H55">
            <v>0.1176</v>
          </cell>
          <cell r="I55">
            <v>475109</v>
          </cell>
          <cell r="J55">
            <v>55621</v>
          </cell>
          <cell r="K55">
            <v>0.1171</v>
          </cell>
          <cell r="L55">
            <v>58327.262999999999</v>
          </cell>
          <cell r="M55">
            <v>0.95360210000000001</v>
          </cell>
          <cell r="N55">
            <v>0.11219999999999999</v>
          </cell>
          <cell r="O55">
            <v>-4.5900000000000003E-2</v>
          </cell>
          <cell r="P55">
            <v>-0.1075</v>
          </cell>
          <cell r="Q55">
            <v>-0.14846599999999999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CY2016 Readmit Norms"/>
      <sheetName val="3.CY2016 Readmit Rates"/>
      <sheetName val="4.CY2018 Improve All Payers"/>
      <sheetName val="4a.CY2018 Improve Medicare FFS"/>
      <sheetName val="4b.CY2018 Improve Medicaid FFS"/>
      <sheetName val="5.CY17 Readmit Rates"/>
      <sheetName val="6. CY18 Readmit Attainment"/>
      <sheetName val="7. RY20 Revenue Scales"/>
      <sheetName val="8. RRIP Calculation Sheet"/>
    </sheetNames>
    <sheetDataSet>
      <sheetData sheetId="0"/>
      <sheetData sheetId="1"/>
      <sheetData sheetId="2"/>
      <sheetData sheetId="3">
        <row r="7">
          <cell r="A7">
            <v>210001</v>
          </cell>
          <cell r="B7" t="str">
            <v>Meritus</v>
          </cell>
          <cell r="C7">
            <v>13825</v>
          </cell>
          <cell r="D7">
            <v>1534</v>
          </cell>
          <cell r="E7">
            <v>0.111</v>
          </cell>
          <cell r="F7">
            <v>1609.8658</v>
          </cell>
          <cell r="G7">
            <v>0.95287449999999996</v>
          </cell>
          <cell r="H7">
            <v>0.11210000000000001</v>
          </cell>
          <cell r="I7">
            <v>13528</v>
          </cell>
          <cell r="J7">
            <v>1545</v>
          </cell>
          <cell r="K7">
            <v>0.1142</v>
          </cell>
          <cell r="L7">
            <v>1684.4345000000001</v>
          </cell>
          <cell r="M7">
            <v>0.91722179999999998</v>
          </cell>
          <cell r="N7">
            <v>0.1079</v>
          </cell>
          <cell r="O7">
            <v>-3.7499999999999999E-2</v>
          </cell>
          <cell r="P7">
            <v>-6.4399999999999999E-2</v>
          </cell>
          <cell r="Q7">
            <v>-9.9485000000000004E-2</v>
          </cell>
        </row>
        <row r="8">
          <cell r="A8">
            <v>210002</v>
          </cell>
          <cell r="B8" t="str">
            <v>UMMC</v>
          </cell>
          <cell r="C8">
            <v>22741</v>
          </cell>
          <cell r="D8">
            <v>3277</v>
          </cell>
          <cell r="E8">
            <v>0.14410000000000001</v>
          </cell>
          <cell r="F8">
            <v>2965.5434</v>
          </cell>
          <cell r="G8">
            <v>1.1050252</v>
          </cell>
          <cell r="H8">
            <v>0.13</v>
          </cell>
          <cell r="I8">
            <v>22729</v>
          </cell>
          <cell r="J8">
            <v>3301</v>
          </cell>
          <cell r="K8">
            <v>0.1452</v>
          </cell>
          <cell r="L8">
            <v>3057.4124999999999</v>
          </cell>
          <cell r="M8">
            <v>1.0796711000000001</v>
          </cell>
          <cell r="N8">
            <v>0.127</v>
          </cell>
          <cell r="O8">
            <v>-2.3099999999999999E-2</v>
          </cell>
          <cell r="P8">
            <v>-0.1195</v>
          </cell>
          <cell r="Q8">
            <v>-0.13983999999999999</v>
          </cell>
        </row>
        <row r="9">
          <cell r="A9">
            <v>210003</v>
          </cell>
          <cell r="B9" t="str">
            <v>UM-PGHC</v>
          </cell>
          <cell r="C9">
            <v>10699</v>
          </cell>
          <cell r="D9">
            <v>1205</v>
          </cell>
          <cell r="E9">
            <v>0.11260000000000001</v>
          </cell>
          <cell r="F9">
            <v>1292.8996999999999</v>
          </cell>
          <cell r="G9">
            <v>0.93201350000000005</v>
          </cell>
          <cell r="H9">
            <v>0.1096</v>
          </cell>
          <cell r="I9">
            <v>10945</v>
          </cell>
          <cell r="J9">
            <v>1324</v>
          </cell>
          <cell r="K9">
            <v>0.121</v>
          </cell>
          <cell r="L9">
            <v>1432.9350999999999</v>
          </cell>
          <cell r="M9">
            <v>0.92397759999999995</v>
          </cell>
          <cell r="N9">
            <v>0.1087</v>
          </cell>
          <cell r="O9">
            <v>-8.2000000000000007E-3</v>
          </cell>
          <cell r="P9">
            <v>-2.8E-3</v>
          </cell>
          <cell r="Q9">
            <v>-1.0977000000000001E-2</v>
          </cell>
        </row>
        <row r="10">
          <cell r="A10">
            <v>210004</v>
          </cell>
          <cell r="B10" t="str">
            <v>Holy Cross</v>
          </cell>
          <cell r="C10">
            <v>24365</v>
          </cell>
          <cell r="D10">
            <v>2135</v>
          </cell>
          <cell r="E10">
            <v>8.7599999999999997E-2</v>
          </cell>
          <cell r="F10">
            <v>2147.3487</v>
          </cell>
          <cell r="G10">
            <v>0.9942493</v>
          </cell>
          <cell r="H10">
            <v>0.11700000000000001</v>
          </cell>
          <cell r="I10">
            <v>23466</v>
          </cell>
          <cell r="J10">
            <v>1931</v>
          </cell>
          <cell r="K10">
            <v>8.2299999999999998E-2</v>
          </cell>
          <cell r="L10">
            <v>2026.6682000000001</v>
          </cell>
          <cell r="M10">
            <v>0.95279530000000001</v>
          </cell>
          <cell r="N10">
            <v>0.11210000000000001</v>
          </cell>
          <cell r="O10">
            <v>-4.19E-2</v>
          </cell>
          <cell r="P10">
            <v>2.3E-2</v>
          </cell>
          <cell r="Q10">
            <v>-1.9864E-2</v>
          </cell>
        </row>
        <row r="11">
          <cell r="A11">
            <v>210005</v>
          </cell>
          <cell r="B11" t="str">
            <v>Frederick</v>
          </cell>
          <cell r="C11">
            <v>14284</v>
          </cell>
          <cell r="D11">
            <v>1373</v>
          </cell>
          <cell r="E11">
            <v>9.6100000000000005E-2</v>
          </cell>
          <cell r="F11">
            <v>1663.9954</v>
          </cell>
          <cell r="G11">
            <v>0.82512249999999998</v>
          </cell>
          <cell r="H11">
            <v>9.7100000000000006E-2</v>
          </cell>
          <cell r="I11">
            <v>14748</v>
          </cell>
          <cell r="J11">
            <v>1503</v>
          </cell>
          <cell r="K11">
            <v>0.1019</v>
          </cell>
          <cell r="L11">
            <v>1812.1104</v>
          </cell>
          <cell r="M11">
            <v>0.82941969999999998</v>
          </cell>
          <cell r="N11">
            <v>9.7600000000000006E-2</v>
          </cell>
          <cell r="O11">
            <v>5.1000000000000004E-3</v>
          </cell>
          <cell r="P11">
            <v>-9.8100000000000007E-2</v>
          </cell>
          <cell r="Q11">
            <v>-9.35E-2</v>
          </cell>
        </row>
        <row r="12">
          <cell r="A12">
            <v>210006</v>
          </cell>
          <cell r="B12" t="str">
            <v>UM-Harford</v>
          </cell>
          <cell r="C12">
            <v>4072</v>
          </cell>
          <cell r="D12">
            <v>630</v>
          </cell>
          <cell r="E12">
            <v>0.1547</v>
          </cell>
          <cell r="F12">
            <v>583.89340000000004</v>
          </cell>
          <cell r="G12">
            <v>1.0789641000000001</v>
          </cell>
          <cell r="H12">
            <v>0.12690000000000001</v>
          </cell>
          <cell r="I12">
            <v>3928</v>
          </cell>
          <cell r="J12">
            <v>531</v>
          </cell>
          <cell r="K12">
            <v>0.13519999999999999</v>
          </cell>
          <cell r="L12">
            <v>592.22807</v>
          </cell>
          <cell r="M12">
            <v>0.89661400000000002</v>
          </cell>
          <cell r="N12">
            <v>0.1055</v>
          </cell>
          <cell r="O12">
            <v>-0.1686</v>
          </cell>
          <cell r="P12">
            <v>5.3800000000000001E-2</v>
          </cell>
          <cell r="Q12">
            <v>-0.123871</v>
          </cell>
        </row>
        <row r="13">
          <cell r="A13">
            <v>210008</v>
          </cell>
          <cell r="B13" t="str">
            <v>Mercy</v>
          </cell>
          <cell r="C13">
            <v>12715</v>
          </cell>
          <cell r="D13">
            <v>1049</v>
          </cell>
          <cell r="E13">
            <v>8.2500000000000004E-2</v>
          </cell>
          <cell r="F13">
            <v>997.45599000000004</v>
          </cell>
          <cell r="G13">
            <v>1.0516755</v>
          </cell>
          <cell r="H13">
            <v>0.1237</v>
          </cell>
          <cell r="I13">
            <v>12705</v>
          </cell>
          <cell r="J13">
            <v>1130</v>
          </cell>
          <cell r="K13">
            <v>8.8900000000000007E-2</v>
          </cell>
          <cell r="L13">
            <v>1107.9806000000001</v>
          </cell>
          <cell r="M13">
            <v>1.0198735000000001</v>
          </cell>
          <cell r="N13">
            <v>0.12</v>
          </cell>
          <cell r="O13">
            <v>-2.9899999999999999E-2</v>
          </cell>
          <cell r="P13">
            <v>-0.18479999999999999</v>
          </cell>
          <cell r="Q13">
            <v>-0.209174</v>
          </cell>
        </row>
        <row r="14">
          <cell r="A14">
            <v>210009</v>
          </cell>
          <cell r="B14" t="str">
            <v>Johns Hopkins</v>
          </cell>
          <cell r="C14">
            <v>39791</v>
          </cell>
          <cell r="D14">
            <v>5725</v>
          </cell>
          <cell r="E14">
            <v>0.1439</v>
          </cell>
          <cell r="F14">
            <v>5172.7547999999997</v>
          </cell>
          <cell r="G14">
            <v>1.1067604</v>
          </cell>
          <cell r="H14">
            <v>0.13020000000000001</v>
          </cell>
          <cell r="I14">
            <v>37399</v>
          </cell>
          <cell r="J14">
            <v>5494</v>
          </cell>
          <cell r="K14">
            <v>0.1469</v>
          </cell>
          <cell r="L14">
            <v>5104.2497000000003</v>
          </cell>
          <cell r="M14">
            <v>1.0763579999999999</v>
          </cell>
          <cell r="N14">
            <v>0.12659999999999999</v>
          </cell>
          <cell r="O14">
            <v>-2.76E-2</v>
          </cell>
          <cell r="P14">
            <v>-0.12659999999999999</v>
          </cell>
          <cell r="Q14">
            <v>-0.15070600000000001</v>
          </cell>
        </row>
        <row r="15">
          <cell r="A15">
            <v>210010</v>
          </cell>
          <cell r="B15" t="str">
            <v>UM-Dorchester</v>
          </cell>
          <cell r="C15">
            <v>2214</v>
          </cell>
          <cell r="D15">
            <v>322</v>
          </cell>
          <cell r="E15">
            <v>0.1454</v>
          </cell>
          <cell r="F15">
            <v>308.61642999999998</v>
          </cell>
          <cell r="G15">
            <v>1.0433664</v>
          </cell>
          <cell r="H15">
            <v>0.1227</v>
          </cell>
          <cell r="I15">
            <v>1653</v>
          </cell>
          <cell r="J15">
            <v>203</v>
          </cell>
          <cell r="K15">
            <v>0.12280000000000001</v>
          </cell>
          <cell r="L15">
            <v>248.90916000000001</v>
          </cell>
          <cell r="M15">
            <v>0.81555860000000002</v>
          </cell>
          <cell r="N15">
            <v>9.5899999999999999E-2</v>
          </cell>
          <cell r="O15">
            <v>-0.21840000000000001</v>
          </cell>
          <cell r="P15">
            <v>4.3099999999999999E-2</v>
          </cell>
          <cell r="Q15">
            <v>-0.18471299999999999</v>
          </cell>
        </row>
        <row r="16">
          <cell r="A16">
            <v>210011</v>
          </cell>
          <cell r="B16" t="str">
            <v>St. Agnes</v>
          </cell>
          <cell r="C16">
            <v>14790</v>
          </cell>
          <cell r="D16">
            <v>1789</v>
          </cell>
          <cell r="E16">
            <v>0.121</v>
          </cell>
          <cell r="F16">
            <v>1741.7506000000001</v>
          </cell>
          <cell r="G16">
            <v>1.0271275</v>
          </cell>
          <cell r="H16">
            <v>0.1208</v>
          </cell>
          <cell r="I16">
            <v>13513</v>
          </cell>
          <cell r="J16">
            <v>1676</v>
          </cell>
          <cell r="K16">
            <v>0.124</v>
          </cell>
          <cell r="L16">
            <v>1666.5247999999999</v>
          </cell>
          <cell r="M16">
            <v>1.0056856000000001</v>
          </cell>
          <cell r="N16">
            <v>0.1183</v>
          </cell>
          <cell r="O16">
            <v>-2.07E-2</v>
          </cell>
          <cell r="P16">
            <v>-0.1336</v>
          </cell>
          <cell r="Q16">
            <v>-0.151534</v>
          </cell>
        </row>
        <row r="17">
          <cell r="A17">
            <v>210012</v>
          </cell>
          <cell r="B17" t="str">
            <v>Sinai</v>
          </cell>
          <cell r="C17">
            <v>15633</v>
          </cell>
          <cell r="D17">
            <v>2061</v>
          </cell>
          <cell r="E17">
            <v>0.1318</v>
          </cell>
          <cell r="F17">
            <v>1971.4973</v>
          </cell>
          <cell r="G17">
            <v>1.0453983</v>
          </cell>
          <cell r="H17">
            <v>0.123</v>
          </cell>
          <cell r="I17">
            <v>13880</v>
          </cell>
          <cell r="J17">
            <v>1665</v>
          </cell>
          <cell r="K17">
            <v>0.12</v>
          </cell>
          <cell r="L17">
            <v>1770.7698</v>
          </cell>
          <cell r="M17">
            <v>0.94026900000000002</v>
          </cell>
          <cell r="N17">
            <v>0.1106</v>
          </cell>
          <cell r="O17">
            <v>-0.1008</v>
          </cell>
          <cell r="P17">
            <v>-0.1668</v>
          </cell>
          <cell r="Q17">
            <v>-0.25078699999999998</v>
          </cell>
        </row>
        <row r="18">
          <cell r="A18">
            <v>210013</v>
          </cell>
          <cell r="B18" t="str">
            <v>Bon Secours</v>
          </cell>
          <cell r="C18">
            <v>3476</v>
          </cell>
          <cell r="D18">
            <v>764</v>
          </cell>
          <cell r="E18">
            <v>0.2198</v>
          </cell>
          <cell r="F18">
            <v>576.64233999999999</v>
          </cell>
          <cell r="G18">
            <v>1.3249114</v>
          </cell>
          <cell r="H18">
            <v>0.15590000000000001</v>
          </cell>
          <cell r="I18">
            <v>2887</v>
          </cell>
          <cell r="J18">
            <v>619</v>
          </cell>
          <cell r="K18">
            <v>0.21440000000000001</v>
          </cell>
          <cell r="L18">
            <v>481.05155999999999</v>
          </cell>
          <cell r="M18">
            <v>1.2867644</v>
          </cell>
          <cell r="N18">
            <v>0.15140000000000001</v>
          </cell>
          <cell r="O18">
            <v>-2.8899999999999999E-2</v>
          </cell>
          <cell r="P18">
            <v>-0.22770000000000001</v>
          </cell>
          <cell r="Q18">
            <v>-0.25001899999999999</v>
          </cell>
        </row>
        <row r="19">
          <cell r="A19">
            <v>210015</v>
          </cell>
          <cell r="B19" t="str">
            <v>MedStar Fr Square</v>
          </cell>
          <cell r="C19">
            <v>19118</v>
          </cell>
          <cell r="D19">
            <v>2544</v>
          </cell>
          <cell r="E19">
            <v>0.1331</v>
          </cell>
          <cell r="F19">
            <v>2351.8928000000001</v>
          </cell>
          <cell r="G19">
            <v>1.081682</v>
          </cell>
          <cell r="H19">
            <v>0.12720000000000001</v>
          </cell>
          <cell r="I19">
            <v>19336</v>
          </cell>
          <cell r="J19">
            <v>2623</v>
          </cell>
          <cell r="K19">
            <v>0.13569999999999999</v>
          </cell>
          <cell r="L19">
            <v>2465.9785999999999</v>
          </cell>
          <cell r="M19">
            <v>1.0636751</v>
          </cell>
          <cell r="N19">
            <v>0.12509999999999999</v>
          </cell>
          <cell r="O19">
            <v>-1.6500000000000001E-2</v>
          </cell>
          <cell r="P19">
            <v>-4.3299999999999998E-2</v>
          </cell>
          <cell r="Q19">
            <v>-5.9086E-2</v>
          </cell>
        </row>
        <row r="20">
          <cell r="A20">
            <v>210016</v>
          </cell>
          <cell r="B20" t="str">
            <v>Washington Adventist</v>
          </cell>
          <cell r="C20">
            <v>9399</v>
          </cell>
          <cell r="D20">
            <v>977</v>
          </cell>
          <cell r="E20">
            <v>0.10390000000000001</v>
          </cell>
          <cell r="F20">
            <v>1107.1315</v>
          </cell>
          <cell r="G20">
            <v>0.88246060000000004</v>
          </cell>
          <cell r="H20">
            <v>0.1038</v>
          </cell>
          <cell r="I20">
            <v>9210</v>
          </cell>
          <cell r="J20">
            <v>868</v>
          </cell>
          <cell r="K20">
            <v>9.4200000000000006E-2</v>
          </cell>
          <cell r="L20">
            <v>1046.674</v>
          </cell>
          <cell r="M20">
            <v>0.82929359999999996</v>
          </cell>
          <cell r="N20">
            <v>9.7600000000000006E-2</v>
          </cell>
          <cell r="O20">
            <v>-5.9700000000000003E-2</v>
          </cell>
          <cell r="P20">
            <v>-0.1077</v>
          </cell>
          <cell r="Q20">
            <v>-0.16097</v>
          </cell>
        </row>
        <row r="21">
          <cell r="A21">
            <v>210017</v>
          </cell>
          <cell r="B21" t="str">
            <v>Garrett</v>
          </cell>
          <cell r="C21">
            <v>1965</v>
          </cell>
          <cell r="D21">
            <v>104</v>
          </cell>
          <cell r="E21">
            <v>5.2900000000000003E-2</v>
          </cell>
          <cell r="F21">
            <v>208.52110999999999</v>
          </cell>
          <cell r="G21">
            <v>0.49875049999999999</v>
          </cell>
          <cell r="H21">
            <v>5.8700000000000002E-2</v>
          </cell>
          <cell r="I21">
            <v>1903</v>
          </cell>
          <cell r="J21">
            <v>130</v>
          </cell>
          <cell r="K21">
            <v>6.83E-2</v>
          </cell>
          <cell r="L21">
            <v>226.53945999999999</v>
          </cell>
          <cell r="M21">
            <v>0.57385149999999996</v>
          </cell>
          <cell r="N21">
            <v>6.7500000000000004E-2</v>
          </cell>
          <cell r="O21">
            <v>0.14990000000000001</v>
          </cell>
          <cell r="P21">
            <v>-0.1719</v>
          </cell>
          <cell r="Q21">
            <v>-4.7767999999999998E-2</v>
          </cell>
        </row>
        <row r="22">
          <cell r="A22">
            <v>210018</v>
          </cell>
          <cell r="B22" t="str">
            <v>MedStar Montgomery</v>
          </cell>
          <cell r="C22">
            <v>6529</v>
          </cell>
          <cell r="D22">
            <v>760</v>
          </cell>
          <cell r="E22">
            <v>0.1164</v>
          </cell>
          <cell r="F22">
            <v>826.02769000000001</v>
          </cell>
          <cell r="G22">
            <v>0.92006600000000005</v>
          </cell>
          <cell r="H22">
            <v>0.1082</v>
          </cell>
          <cell r="I22">
            <v>6191</v>
          </cell>
          <cell r="J22">
            <v>720</v>
          </cell>
          <cell r="K22">
            <v>0.1163</v>
          </cell>
          <cell r="L22">
            <v>795.28957000000003</v>
          </cell>
          <cell r="M22">
            <v>0.90533059999999999</v>
          </cell>
          <cell r="N22">
            <v>0.1065</v>
          </cell>
          <cell r="O22">
            <v>-1.5699999999999999E-2</v>
          </cell>
          <cell r="P22">
            <v>-0.14219999999999999</v>
          </cell>
          <cell r="Q22">
            <v>-0.155667</v>
          </cell>
        </row>
        <row r="23">
          <cell r="A23">
            <v>210019</v>
          </cell>
          <cell r="B23" t="str">
            <v>Peninsula</v>
          </cell>
          <cell r="C23">
            <v>16003</v>
          </cell>
          <cell r="D23">
            <v>1690</v>
          </cell>
          <cell r="E23">
            <v>0.1056</v>
          </cell>
          <cell r="F23">
            <v>1870.5971</v>
          </cell>
          <cell r="G23">
            <v>0.90345489999999995</v>
          </cell>
          <cell r="H23">
            <v>0.10630000000000001</v>
          </cell>
          <cell r="I23">
            <v>15429</v>
          </cell>
          <cell r="J23">
            <v>1730</v>
          </cell>
          <cell r="K23">
            <v>0.11210000000000001</v>
          </cell>
          <cell r="L23">
            <v>1914.2864</v>
          </cell>
          <cell r="M23">
            <v>0.90373099999999995</v>
          </cell>
          <cell r="N23">
            <v>0.10630000000000001</v>
          </cell>
          <cell r="O23">
            <v>0</v>
          </cell>
          <cell r="P23">
            <v>-5.2600000000000001E-2</v>
          </cell>
          <cell r="Q23">
            <v>-5.2600000000000001E-2</v>
          </cell>
        </row>
        <row r="24">
          <cell r="A24">
            <v>210022</v>
          </cell>
          <cell r="B24" t="str">
            <v>Suburban</v>
          </cell>
          <cell r="C24">
            <v>12477</v>
          </cell>
          <cell r="D24">
            <v>1441</v>
          </cell>
          <cell r="E24">
            <v>0.11550000000000001</v>
          </cell>
          <cell r="F24">
            <v>1510.8648000000001</v>
          </cell>
          <cell r="G24">
            <v>0.95375840000000001</v>
          </cell>
          <cell r="H24">
            <v>0.11219999999999999</v>
          </cell>
          <cell r="I24">
            <v>12934</v>
          </cell>
          <cell r="J24">
            <v>1435</v>
          </cell>
          <cell r="K24">
            <v>0.1109</v>
          </cell>
          <cell r="L24">
            <v>1633.1823999999999</v>
          </cell>
          <cell r="M24">
            <v>0.87865260000000001</v>
          </cell>
          <cell r="N24">
            <v>0.10340000000000001</v>
          </cell>
          <cell r="O24">
            <v>-7.8399999999999997E-2</v>
          </cell>
          <cell r="P24">
            <v>-1.9699999999999999E-2</v>
          </cell>
          <cell r="Q24">
            <v>-9.6556000000000003E-2</v>
          </cell>
        </row>
        <row r="25">
          <cell r="A25">
            <v>210023</v>
          </cell>
          <cell r="B25" t="str">
            <v>Anne Arundel</v>
          </cell>
          <cell r="C25">
            <v>24723</v>
          </cell>
          <cell r="D25">
            <v>2073</v>
          </cell>
          <cell r="E25">
            <v>8.3799999999999999E-2</v>
          </cell>
          <cell r="F25">
            <v>2170.5623000000001</v>
          </cell>
          <cell r="G25">
            <v>0.95505209999999996</v>
          </cell>
          <cell r="H25">
            <v>0.1123</v>
          </cell>
          <cell r="I25">
            <v>23041</v>
          </cell>
          <cell r="J25">
            <v>2128</v>
          </cell>
          <cell r="K25">
            <v>9.2399999999999996E-2</v>
          </cell>
          <cell r="L25">
            <v>2238.5317</v>
          </cell>
          <cell r="M25">
            <v>0.95062310000000005</v>
          </cell>
          <cell r="N25">
            <v>0.1118</v>
          </cell>
          <cell r="O25">
            <v>-4.4999999999999997E-3</v>
          </cell>
          <cell r="P25">
            <v>-9.5000000000000001E-2</v>
          </cell>
          <cell r="Q25">
            <v>-9.9071999999999993E-2</v>
          </cell>
        </row>
        <row r="26">
          <cell r="A26">
            <v>210024</v>
          </cell>
          <cell r="B26" t="str">
            <v>MedStar Union Mem</v>
          </cell>
          <cell r="C26">
            <v>10242</v>
          </cell>
          <cell r="D26">
            <v>1399</v>
          </cell>
          <cell r="E26">
            <v>0.1366</v>
          </cell>
          <cell r="F26">
            <v>1290.7022999999999</v>
          </cell>
          <cell r="G26">
            <v>1.083906</v>
          </cell>
          <cell r="H26">
            <v>0.1275</v>
          </cell>
          <cell r="I26">
            <v>9889</v>
          </cell>
          <cell r="J26">
            <v>1259</v>
          </cell>
          <cell r="K26">
            <v>0.1273</v>
          </cell>
          <cell r="L26">
            <v>1259.8445999999999</v>
          </cell>
          <cell r="M26">
            <v>0.99932960000000004</v>
          </cell>
          <cell r="N26">
            <v>0.1176</v>
          </cell>
          <cell r="O26">
            <v>-7.7600000000000002E-2</v>
          </cell>
          <cell r="P26">
            <v>-0.14560000000000001</v>
          </cell>
          <cell r="Q26">
            <v>-0.21190100000000001</v>
          </cell>
        </row>
        <row r="27">
          <cell r="A27">
            <v>210027</v>
          </cell>
          <cell r="B27" t="str">
            <v>Western Maryland</v>
          </cell>
          <cell r="C27">
            <v>10387</v>
          </cell>
          <cell r="D27">
            <v>1277</v>
          </cell>
          <cell r="E27">
            <v>0.1229</v>
          </cell>
          <cell r="F27">
            <v>1331.3648000000001</v>
          </cell>
          <cell r="G27">
            <v>0.95916610000000002</v>
          </cell>
          <cell r="H27">
            <v>0.1128</v>
          </cell>
          <cell r="I27">
            <v>9885</v>
          </cell>
          <cell r="J27">
            <v>1156</v>
          </cell>
          <cell r="K27">
            <v>0.1169</v>
          </cell>
          <cell r="L27">
            <v>1330.6022</v>
          </cell>
          <cell r="M27">
            <v>0.86877959999999999</v>
          </cell>
          <cell r="N27">
            <v>0.1022</v>
          </cell>
          <cell r="O27">
            <v>-9.4E-2</v>
          </cell>
          <cell r="P27">
            <v>-9.7500000000000003E-2</v>
          </cell>
          <cell r="Q27">
            <v>-0.182335</v>
          </cell>
        </row>
        <row r="28">
          <cell r="A28">
            <v>210028</v>
          </cell>
          <cell r="B28" t="str">
            <v>MedStar St. Mary's</v>
          </cell>
          <cell r="C28">
            <v>7412</v>
          </cell>
          <cell r="D28">
            <v>733</v>
          </cell>
          <cell r="E28">
            <v>9.8900000000000002E-2</v>
          </cell>
          <cell r="F28">
            <v>798.50149999999996</v>
          </cell>
          <cell r="G28">
            <v>0.91796949999999999</v>
          </cell>
          <cell r="H28">
            <v>0.108</v>
          </cell>
          <cell r="I28">
            <v>6045</v>
          </cell>
          <cell r="J28">
            <v>605</v>
          </cell>
          <cell r="K28">
            <v>0.10009999999999999</v>
          </cell>
          <cell r="L28">
            <v>666.75166999999999</v>
          </cell>
          <cell r="M28">
            <v>0.90738430000000003</v>
          </cell>
          <cell r="N28">
            <v>0.1067</v>
          </cell>
          <cell r="O28">
            <v>-1.2E-2</v>
          </cell>
          <cell r="P28">
            <v>-0.16389999999999999</v>
          </cell>
          <cell r="Q28">
            <v>-0.173933</v>
          </cell>
        </row>
        <row r="29">
          <cell r="A29">
            <v>210029</v>
          </cell>
          <cell r="B29" t="str">
            <v>JH Bayview</v>
          </cell>
          <cell r="C29">
            <v>17459</v>
          </cell>
          <cell r="D29">
            <v>2703</v>
          </cell>
          <cell r="E29">
            <v>0.15479999999999999</v>
          </cell>
          <cell r="F29">
            <v>2215.8555000000001</v>
          </cell>
          <cell r="G29">
            <v>1.2198449</v>
          </cell>
          <cell r="H29">
            <v>0.14349999999999999</v>
          </cell>
          <cell r="I29">
            <v>16963</v>
          </cell>
          <cell r="J29">
            <v>2509</v>
          </cell>
          <cell r="K29">
            <v>0.1479</v>
          </cell>
          <cell r="L29">
            <v>2199.3579</v>
          </cell>
          <cell r="M29">
            <v>1.1407875000000001</v>
          </cell>
          <cell r="N29">
            <v>0.13420000000000001</v>
          </cell>
          <cell r="O29">
            <v>-6.4799999999999996E-2</v>
          </cell>
          <cell r="P29">
            <v>-7.2499999999999995E-2</v>
          </cell>
          <cell r="Q29">
            <v>-0.132602</v>
          </cell>
        </row>
        <row r="30">
          <cell r="A30">
            <v>210030</v>
          </cell>
          <cell r="B30" t="str">
            <v>UM-Chestertown</v>
          </cell>
          <cell r="C30">
            <v>1438</v>
          </cell>
          <cell r="D30">
            <v>221</v>
          </cell>
          <cell r="E30">
            <v>0.1537</v>
          </cell>
          <cell r="F30">
            <v>185.63549</v>
          </cell>
          <cell r="G30">
            <v>1.1905051</v>
          </cell>
          <cell r="H30">
            <v>0.14000000000000001</v>
          </cell>
          <cell r="I30">
            <v>854</v>
          </cell>
          <cell r="J30">
            <v>75</v>
          </cell>
          <cell r="K30">
            <v>8.7800000000000003E-2</v>
          </cell>
          <cell r="L30">
            <v>126.22811</v>
          </cell>
          <cell r="M30">
            <v>0.59416239999999998</v>
          </cell>
          <cell r="N30">
            <v>6.9900000000000004E-2</v>
          </cell>
          <cell r="O30">
            <v>-0.50070000000000003</v>
          </cell>
          <cell r="P30">
            <v>3.7100000000000001E-2</v>
          </cell>
          <cell r="Q30">
            <v>-0.48217599999999999</v>
          </cell>
        </row>
        <row r="31">
          <cell r="A31">
            <v>210032</v>
          </cell>
          <cell r="B31" t="str">
            <v>Union of Cecil</v>
          </cell>
          <cell r="C31">
            <v>5310</v>
          </cell>
          <cell r="D31">
            <v>589</v>
          </cell>
          <cell r="E31">
            <v>0.1109</v>
          </cell>
          <cell r="F31">
            <v>664.46190999999999</v>
          </cell>
          <cell r="G31">
            <v>0.88643159999999999</v>
          </cell>
          <cell r="H31">
            <v>0.1043</v>
          </cell>
          <cell r="I31">
            <v>4705</v>
          </cell>
          <cell r="J31">
            <v>529</v>
          </cell>
          <cell r="K31">
            <v>0.1124</v>
          </cell>
          <cell r="L31">
            <v>604.68140000000005</v>
          </cell>
          <cell r="M31">
            <v>0.87484090000000003</v>
          </cell>
          <cell r="N31">
            <v>0.10290000000000001</v>
          </cell>
          <cell r="O31">
            <v>-1.34E-2</v>
          </cell>
          <cell r="P31">
            <v>4.2900000000000001E-2</v>
          </cell>
          <cell r="Q31">
            <v>2.8925099999999999E-2</v>
          </cell>
        </row>
        <row r="32">
          <cell r="A32">
            <v>210033</v>
          </cell>
          <cell r="B32" t="str">
            <v>Carroll</v>
          </cell>
          <cell r="C32">
            <v>9130</v>
          </cell>
          <cell r="D32">
            <v>1058</v>
          </cell>
          <cell r="E32">
            <v>0.1159</v>
          </cell>
          <cell r="F32">
            <v>1103.2249999999999</v>
          </cell>
          <cell r="G32">
            <v>0.95900649999999998</v>
          </cell>
          <cell r="H32">
            <v>0.1128</v>
          </cell>
          <cell r="I32">
            <v>9555</v>
          </cell>
          <cell r="J32">
            <v>1139</v>
          </cell>
          <cell r="K32">
            <v>0.1192</v>
          </cell>
          <cell r="L32">
            <v>1196.4574</v>
          </cell>
          <cell r="M32">
            <v>0.95197710000000002</v>
          </cell>
          <cell r="N32">
            <v>0.112</v>
          </cell>
          <cell r="O32">
            <v>-7.1000000000000004E-3</v>
          </cell>
          <cell r="P32">
            <v>-8.6199999999999999E-2</v>
          </cell>
          <cell r="Q32">
            <v>-9.2688000000000006E-2</v>
          </cell>
        </row>
        <row r="33">
          <cell r="A33">
            <v>210034</v>
          </cell>
          <cell r="B33" t="str">
            <v>MedStar Harbor</v>
          </cell>
          <cell r="C33">
            <v>6241</v>
          </cell>
          <cell r="D33">
            <v>749</v>
          </cell>
          <cell r="E33">
            <v>0.12</v>
          </cell>
          <cell r="F33">
            <v>725.55781999999999</v>
          </cell>
          <cell r="G33">
            <v>1.0323092</v>
          </cell>
          <cell r="H33">
            <v>0.12139999999999999</v>
          </cell>
          <cell r="I33">
            <v>6799</v>
          </cell>
          <cell r="J33">
            <v>967</v>
          </cell>
          <cell r="K33">
            <v>0.14219999999999999</v>
          </cell>
          <cell r="L33">
            <v>844.28994999999998</v>
          </cell>
          <cell r="M33">
            <v>1.1453411</v>
          </cell>
          <cell r="N33">
            <v>0.13469999999999999</v>
          </cell>
          <cell r="O33">
            <v>0.1096</v>
          </cell>
          <cell r="P33">
            <v>-6.7599999999999993E-2</v>
          </cell>
          <cell r="Q33">
            <v>3.4590999999999997E-2</v>
          </cell>
        </row>
        <row r="34">
          <cell r="A34">
            <v>210035</v>
          </cell>
          <cell r="B34" t="str">
            <v>UM-Charles Regional</v>
          </cell>
          <cell r="C34">
            <v>5941</v>
          </cell>
          <cell r="D34">
            <v>621</v>
          </cell>
          <cell r="E34">
            <v>0.1045</v>
          </cell>
          <cell r="F34">
            <v>745.32123000000001</v>
          </cell>
          <cell r="G34">
            <v>0.83319779999999999</v>
          </cell>
          <cell r="H34">
            <v>9.8000000000000004E-2</v>
          </cell>
          <cell r="I34">
            <v>5834</v>
          </cell>
          <cell r="J34">
            <v>642</v>
          </cell>
          <cell r="K34">
            <v>0.11</v>
          </cell>
          <cell r="L34">
            <v>766.94822999999997</v>
          </cell>
          <cell r="M34">
            <v>0.83708389999999999</v>
          </cell>
          <cell r="N34">
            <v>9.8500000000000004E-2</v>
          </cell>
          <cell r="O34">
            <v>5.1000000000000004E-3</v>
          </cell>
          <cell r="P34">
            <v>-0.19</v>
          </cell>
          <cell r="Q34">
            <v>-0.18586900000000001</v>
          </cell>
        </row>
        <row r="35">
          <cell r="A35">
            <v>210037</v>
          </cell>
          <cell r="B35" t="str">
            <v>UM-Easton</v>
          </cell>
          <cell r="C35">
            <v>6617</v>
          </cell>
          <cell r="D35">
            <v>653</v>
          </cell>
          <cell r="E35">
            <v>9.8699999999999996E-2</v>
          </cell>
          <cell r="F35">
            <v>706.79672000000005</v>
          </cell>
          <cell r="G35">
            <v>0.9238866</v>
          </cell>
          <cell r="H35">
            <v>0.1087</v>
          </cell>
          <cell r="I35">
            <v>5654</v>
          </cell>
          <cell r="J35">
            <v>477</v>
          </cell>
          <cell r="K35">
            <v>8.4400000000000003E-2</v>
          </cell>
          <cell r="L35">
            <v>644.84077000000002</v>
          </cell>
          <cell r="M35">
            <v>0.73971750000000003</v>
          </cell>
          <cell r="N35">
            <v>8.6999999999999994E-2</v>
          </cell>
          <cell r="O35">
            <v>-0.1996</v>
          </cell>
          <cell r="P35">
            <v>2.3699999999999999E-2</v>
          </cell>
          <cell r="Q35">
            <v>-0.18063100000000001</v>
          </cell>
        </row>
        <row r="36">
          <cell r="A36">
            <v>210038</v>
          </cell>
          <cell r="B36" t="str">
            <v>UMMC Midtown</v>
          </cell>
          <cell r="C36">
            <v>3917</v>
          </cell>
          <cell r="D36">
            <v>799</v>
          </cell>
          <cell r="E36">
            <v>0.20399999999999999</v>
          </cell>
          <cell r="F36">
            <v>623.22068999999999</v>
          </cell>
          <cell r="G36">
            <v>1.2820499000000001</v>
          </cell>
          <cell r="H36">
            <v>0.15079999999999999</v>
          </cell>
          <cell r="I36">
            <v>3850</v>
          </cell>
          <cell r="J36">
            <v>759</v>
          </cell>
          <cell r="K36">
            <v>0.1971</v>
          </cell>
          <cell r="L36">
            <v>629.33168999999998</v>
          </cell>
          <cell r="M36">
            <v>1.2060413000000001</v>
          </cell>
          <cell r="N36">
            <v>0.1419</v>
          </cell>
          <cell r="O36">
            <v>-5.8999999999999997E-2</v>
          </cell>
          <cell r="P36">
            <v>-0.112</v>
          </cell>
          <cell r="Q36">
            <v>-0.16439200000000001</v>
          </cell>
        </row>
        <row r="37">
          <cell r="A37">
            <v>210039</v>
          </cell>
          <cell r="B37" t="str">
            <v>Calvert</v>
          </cell>
          <cell r="C37">
            <v>4952</v>
          </cell>
          <cell r="D37">
            <v>454</v>
          </cell>
          <cell r="E37">
            <v>9.1700000000000004E-2</v>
          </cell>
          <cell r="F37">
            <v>598.60297000000003</v>
          </cell>
          <cell r="G37">
            <v>0.75843260000000001</v>
          </cell>
          <cell r="H37">
            <v>8.9200000000000002E-2</v>
          </cell>
          <cell r="I37">
            <v>5148</v>
          </cell>
          <cell r="J37">
            <v>553</v>
          </cell>
          <cell r="K37">
            <v>0.1074</v>
          </cell>
          <cell r="L37">
            <v>666.24590999999998</v>
          </cell>
          <cell r="M37">
            <v>0.83002390000000004</v>
          </cell>
          <cell r="N37">
            <v>9.7600000000000006E-2</v>
          </cell>
          <cell r="O37">
            <v>9.4200000000000006E-2</v>
          </cell>
          <cell r="P37">
            <v>-0.1008</v>
          </cell>
          <cell r="Q37">
            <v>-1.6095000000000002E-2</v>
          </cell>
        </row>
        <row r="38">
          <cell r="A38">
            <v>210040</v>
          </cell>
          <cell r="B38" t="str">
            <v>Northwest</v>
          </cell>
          <cell r="C38">
            <v>9983</v>
          </cell>
          <cell r="D38">
            <v>1521</v>
          </cell>
          <cell r="E38">
            <v>0.15240000000000001</v>
          </cell>
          <cell r="F38">
            <v>1429.8735999999999</v>
          </cell>
          <cell r="G38">
            <v>1.0637304000000001</v>
          </cell>
          <cell r="H38">
            <v>0.12509999999999999</v>
          </cell>
          <cell r="I38">
            <v>9194</v>
          </cell>
          <cell r="J38">
            <v>1260</v>
          </cell>
          <cell r="K38">
            <v>0.13700000000000001</v>
          </cell>
          <cell r="L38">
            <v>1389.5084999999999</v>
          </cell>
          <cell r="M38">
            <v>0.90679540000000003</v>
          </cell>
          <cell r="N38">
            <v>0.1067</v>
          </cell>
          <cell r="O38">
            <v>-0.14710000000000001</v>
          </cell>
          <cell r="P38">
            <v>-0.1918</v>
          </cell>
          <cell r="Q38">
            <v>-0.31068600000000002</v>
          </cell>
        </row>
        <row r="39">
          <cell r="A39">
            <v>210043</v>
          </cell>
          <cell r="B39" t="str">
            <v>UM-BWMC</v>
          </cell>
          <cell r="C39">
            <v>15425</v>
          </cell>
          <cell r="D39">
            <v>2156</v>
          </cell>
          <cell r="E39">
            <v>0.13980000000000001</v>
          </cell>
          <cell r="F39">
            <v>2038.2307000000001</v>
          </cell>
          <cell r="G39">
            <v>1.0577802000000001</v>
          </cell>
          <cell r="H39">
            <v>0.1244</v>
          </cell>
          <cell r="I39">
            <v>14547</v>
          </cell>
          <cell r="J39">
            <v>1926</v>
          </cell>
          <cell r="K39">
            <v>0.13239999999999999</v>
          </cell>
          <cell r="L39">
            <v>2061.5234</v>
          </cell>
          <cell r="M39">
            <v>0.9342606</v>
          </cell>
          <cell r="N39">
            <v>0.1099</v>
          </cell>
          <cell r="O39">
            <v>-0.1166</v>
          </cell>
          <cell r="P39">
            <v>-0.13350000000000001</v>
          </cell>
          <cell r="Q39">
            <v>-0.23453399999999999</v>
          </cell>
        </row>
        <row r="40">
          <cell r="A40">
            <v>210044</v>
          </cell>
          <cell r="B40" t="str">
            <v>GBMC</v>
          </cell>
          <cell r="C40">
            <v>15123</v>
          </cell>
          <cell r="D40">
            <v>1224</v>
          </cell>
          <cell r="E40">
            <v>8.09E-2</v>
          </cell>
          <cell r="F40">
            <v>1357.779</v>
          </cell>
          <cell r="G40">
            <v>0.90147219999999995</v>
          </cell>
          <cell r="H40">
            <v>0.106</v>
          </cell>
          <cell r="I40">
            <v>16420</v>
          </cell>
          <cell r="J40">
            <v>1384</v>
          </cell>
          <cell r="K40">
            <v>8.43E-2</v>
          </cell>
          <cell r="L40">
            <v>1592.0591999999999</v>
          </cell>
          <cell r="M40">
            <v>0.86931440000000004</v>
          </cell>
          <cell r="N40">
            <v>0.1023</v>
          </cell>
          <cell r="O40">
            <v>-3.49E-2</v>
          </cell>
          <cell r="P40">
            <v>-6.2600000000000003E-2</v>
          </cell>
          <cell r="Q40">
            <v>-9.5314999999999997E-2</v>
          </cell>
        </row>
        <row r="41">
          <cell r="A41">
            <v>210045</v>
          </cell>
          <cell r="B41" t="str">
            <v>McCready</v>
          </cell>
          <cell r="C41">
            <v>261</v>
          </cell>
          <cell r="D41">
            <v>36</v>
          </cell>
          <cell r="E41">
            <v>0.13789999999999999</v>
          </cell>
          <cell r="F41">
            <v>32.997594999999997</v>
          </cell>
          <cell r="G41">
            <v>1.0909886</v>
          </cell>
          <cell r="H41">
            <v>0.1283</v>
          </cell>
          <cell r="I41">
            <v>194</v>
          </cell>
          <cell r="J41">
            <v>22</v>
          </cell>
          <cell r="K41">
            <v>0.1134</v>
          </cell>
          <cell r="L41">
            <v>23.073885000000001</v>
          </cell>
          <cell r="M41">
            <v>0.9534589</v>
          </cell>
          <cell r="N41">
            <v>0.11219999999999999</v>
          </cell>
          <cell r="O41">
            <v>-0.1255</v>
          </cell>
          <cell r="P41">
            <v>7.0400000000000004E-2</v>
          </cell>
          <cell r="Q41">
            <v>-6.3935000000000006E-2</v>
          </cell>
        </row>
        <row r="42">
          <cell r="A42">
            <v>210048</v>
          </cell>
          <cell r="B42" t="str">
            <v>Howard County</v>
          </cell>
          <cell r="C42">
            <v>16001</v>
          </cell>
          <cell r="D42">
            <v>1661</v>
          </cell>
          <cell r="E42">
            <v>0.1038</v>
          </cell>
          <cell r="F42">
            <v>1708.4462000000001</v>
          </cell>
          <cell r="G42">
            <v>0.97222839999999999</v>
          </cell>
          <cell r="H42">
            <v>0.1144</v>
          </cell>
          <cell r="I42">
            <v>13281</v>
          </cell>
          <cell r="J42">
            <v>1369</v>
          </cell>
          <cell r="K42">
            <v>0.1031</v>
          </cell>
          <cell r="L42">
            <v>1506.7393</v>
          </cell>
          <cell r="M42">
            <v>0.90858450000000002</v>
          </cell>
          <cell r="N42">
            <v>0.1069</v>
          </cell>
          <cell r="O42">
            <v>-6.5600000000000006E-2</v>
          </cell>
          <cell r="P42">
            <v>-4.9200000000000001E-2</v>
          </cell>
          <cell r="Q42">
            <v>-0.111572</v>
          </cell>
        </row>
        <row r="43">
          <cell r="A43">
            <v>210049</v>
          </cell>
          <cell r="B43" t="str">
            <v>UM-Upper Chesapeake</v>
          </cell>
          <cell r="C43">
            <v>10626</v>
          </cell>
          <cell r="D43">
            <v>1176</v>
          </cell>
          <cell r="E43">
            <v>0.11070000000000001</v>
          </cell>
          <cell r="F43">
            <v>1252.3344</v>
          </cell>
          <cell r="G43">
            <v>0.9390463</v>
          </cell>
          <cell r="H43">
            <v>0.1105</v>
          </cell>
          <cell r="I43">
            <v>9603</v>
          </cell>
          <cell r="J43">
            <v>1109</v>
          </cell>
          <cell r="K43">
            <v>0.11550000000000001</v>
          </cell>
          <cell r="L43">
            <v>1206.9378999999999</v>
          </cell>
          <cell r="M43">
            <v>0.91885419999999995</v>
          </cell>
          <cell r="N43">
            <v>0.1081</v>
          </cell>
          <cell r="O43">
            <v>-2.1700000000000001E-2</v>
          </cell>
          <cell r="P43">
            <v>-5.8700000000000002E-2</v>
          </cell>
          <cell r="Q43">
            <v>-7.9126000000000002E-2</v>
          </cell>
        </row>
        <row r="44">
          <cell r="A44">
            <v>210051</v>
          </cell>
          <cell r="B44" t="str">
            <v>Doctors</v>
          </cell>
          <cell r="C44">
            <v>9258</v>
          </cell>
          <cell r="D44">
            <v>1335</v>
          </cell>
          <cell r="E44">
            <v>0.14419999999999999</v>
          </cell>
          <cell r="F44">
            <v>1347.9093</v>
          </cell>
          <cell r="G44">
            <v>0.99042269999999999</v>
          </cell>
          <cell r="H44">
            <v>0.11650000000000001</v>
          </cell>
          <cell r="I44">
            <v>9111</v>
          </cell>
          <cell r="J44">
            <v>1103</v>
          </cell>
          <cell r="K44">
            <v>0.1211</v>
          </cell>
          <cell r="L44">
            <v>1346.4204999999999</v>
          </cell>
          <cell r="M44">
            <v>0.81920919999999997</v>
          </cell>
          <cell r="N44">
            <v>9.64E-2</v>
          </cell>
          <cell r="O44">
            <v>-0.17249999999999999</v>
          </cell>
          <cell r="P44">
            <v>-0.1041</v>
          </cell>
          <cell r="Q44">
            <v>-0.25864300000000001</v>
          </cell>
        </row>
        <row r="45">
          <cell r="A45">
            <v>210055</v>
          </cell>
          <cell r="B45" t="str">
            <v>UM-Laurel</v>
          </cell>
          <cell r="C45">
            <v>3235</v>
          </cell>
          <cell r="D45">
            <v>501</v>
          </cell>
          <cell r="E45">
            <v>0.15490000000000001</v>
          </cell>
          <cell r="F45">
            <v>482.31999000000002</v>
          </cell>
          <cell r="G45">
            <v>1.0387295000000001</v>
          </cell>
          <cell r="H45">
            <v>0.1222</v>
          </cell>
          <cell r="I45">
            <v>2998</v>
          </cell>
          <cell r="J45">
            <v>426</v>
          </cell>
          <cell r="K45">
            <v>0.1421</v>
          </cell>
          <cell r="L45">
            <v>433.61308000000002</v>
          </cell>
          <cell r="M45">
            <v>0.9824427</v>
          </cell>
          <cell r="N45">
            <v>0.11559999999999999</v>
          </cell>
          <cell r="O45">
            <v>-5.3999999999999999E-2</v>
          </cell>
          <cell r="P45">
            <v>-0.16489999999999999</v>
          </cell>
          <cell r="Q45">
            <v>-0.20999499999999999</v>
          </cell>
        </row>
        <row r="46">
          <cell r="A46">
            <v>210056</v>
          </cell>
          <cell r="B46" t="str">
            <v>MedStar Good Sam</v>
          </cell>
          <cell r="C46">
            <v>7425</v>
          </cell>
          <cell r="D46">
            <v>1149</v>
          </cell>
          <cell r="E46">
            <v>0.1547</v>
          </cell>
          <cell r="F46">
            <v>1123.9559999999999</v>
          </cell>
          <cell r="G46">
            <v>1.0222819999999999</v>
          </cell>
          <cell r="H46">
            <v>0.1203</v>
          </cell>
          <cell r="I46">
            <v>6591</v>
          </cell>
          <cell r="J46">
            <v>1191</v>
          </cell>
          <cell r="K46">
            <v>0.1807</v>
          </cell>
          <cell r="L46">
            <v>1062.6990000000001</v>
          </cell>
          <cell r="M46">
            <v>1.1207313000000001</v>
          </cell>
          <cell r="N46">
            <v>0.1318</v>
          </cell>
          <cell r="O46">
            <v>9.5600000000000004E-2</v>
          </cell>
          <cell r="P46">
            <v>-0.18049999999999999</v>
          </cell>
          <cell r="Q46">
            <v>-0.102156</v>
          </cell>
        </row>
        <row r="47">
          <cell r="A47">
            <v>210057</v>
          </cell>
          <cell r="B47" t="str">
            <v>Shady Grove</v>
          </cell>
          <cell r="C47">
            <v>16041</v>
          </cell>
          <cell r="D47">
            <v>1256</v>
          </cell>
          <cell r="E47">
            <v>7.8299999999999995E-2</v>
          </cell>
          <cell r="F47">
            <v>1476.9467</v>
          </cell>
          <cell r="G47">
            <v>0.85040300000000002</v>
          </cell>
          <cell r="H47">
            <v>0.1</v>
          </cell>
          <cell r="I47">
            <v>14836</v>
          </cell>
          <cell r="J47">
            <v>1148</v>
          </cell>
          <cell r="K47">
            <v>7.7399999999999997E-2</v>
          </cell>
          <cell r="L47">
            <v>1397.0816</v>
          </cell>
          <cell r="M47">
            <v>0.82171289999999997</v>
          </cell>
          <cell r="N47">
            <v>9.6699999999999994E-2</v>
          </cell>
          <cell r="O47">
            <v>-3.3000000000000002E-2</v>
          </cell>
          <cell r="P47">
            <v>-9.7299999999999998E-2</v>
          </cell>
          <cell r="Q47">
            <v>-0.12708900000000001</v>
          </cell>
        </row>
        <row r="48">
          <cell r="A48">
            <v>210058</v>
          </cell>
          <cell r="B48" t="str">
            <v>UMROI</v>
          </cell>
          <cell r="C48">
            <v>583</v>
          </cell>
          <cell r="D48">
            <v>38</v>
          </cell>
          <cell r="E48">
            <v>6.5199999999999994E-2</v>
          </cell>
          <cell r="F48">
            <v>45.981197999999999</v>
          </cell>
          <cell r="G48">
            <v>0.82642479999999996</v>
          </cell>
          <cell r="H48">
            <v>9.7199999999999995E-2</v>
          </cell>
          <cell r="I48">
            <v>480</v>
          </cell>
          <cell r="J48">
            <v>24</v>
          </cell>
          <cell r="K48">
            <v>0.05</v>
          </cell>
          <cell r="L48">
            <v>37.028551999999998</v>
          </cell>
          <cell r="M48">
            <v>0.64814850000000002</v>
          </cell>
          <cell r="N48">
            <v>7.6200000000000004E-2</v>
          </cell>
          <cell r="O48">
            <v>-0.216</v>
          </cell>
          <cell r="P48">
            <v>-0.1065</v>
          </cell>
          <cell r="Q48">
            <v>-0.29949599999999998</v>
          </cell>
        </row>
        <row r="49">
          <cell r="A49">
            <v>210060</v>
          </cell>
          <cell r="B49" t="str">
            <v>Ft. Washington</v>
          </cell>
          <cell r="C49">
            <v>2142</v>
          </cell>
          <cell r="D49">
            <v>247</v>
          </cell>
          <cell r="E49">
            <v>0.1153</v>
          </cell>
          <cell r="F49">
            <v>306.56644</v>
          </cell>
          <cell r="G49">
            <v>0.80569809999999997</v>
          </cell>
          <cell r="H49">
            <v>9.4799999999999995E-2</v>
          </cell>
          <cell r="I49">
            <v>1975</v>
          </cell>
          <cell r="J49">
            <v>205</v>
          </cell>
          <cell r="K49">
            <v>0.1038</v>
          </cell>
          <cell r="L49">
            <v>294.84647999999999</v>
          </cell>
          <cell r="M49">
            <v>0.69527709999999998</v>
          </cell>
          <cell r="N49">
            <v>8.1799999999999998E-2</v>
          </cell>
          <cell r="O49">
            <v>-0.1371</v>
          </cell>
          <cell r="P49">
            <v>-0.27410000000000001</v>
          </cell>
          <cell r="Q49">
            <v>-0.37362099999999998</v>
          </cell>
        </row>
        <row r="50">
          <cell r="A50">
            <v>210061</v>
          </cell>
          <cell r="B50" t="str">
            <v>Atlantic General</v>
          </cell>
          <cell r="C50">
            <v>3161</v>
          </cell>
          <cell r="D50">
            <v>317</v>
          </cell>
          <cell r="E50">
            <v>0.1003</v>
          </cell>
          <cell r="F50">
            <v>417.43198000000001</v>
          </cell>
          <cell r="G50">
            <v>0.7594052</v>
          </cell>
          <cell r="H50">
            <v>8.9300000000000004E-2</v>
          </cell>
          <cell r="I50">
            <v>2961</v>
          </cell>
          <cell r="J50">
            <v>325</v>
          </cell>
          <cell r="K50">
            <v>0.10979999999999999</v>
          </cell>
          <cell r="L50">
            <v>403.30653999999998</v>
          </cell>
          <cell r="M50">
            <v>0.80583859999999996</v>
          </cell>
          <cell r="N50">
            <v>9.4799999999999995E-2</v>
          </cell>
          <cell r="O50">
            <v>6.1600000000000002E-2</v>
          </cell>
          <cell r="P50">
            <v>-0.25019999999999998</v>
          </cell>
          <cell r="Q50">
            <v>-0.204012</v>
          </cell>
        </row>
        <row r="51">
          <cell r="A51">
            <v>210062</v>
          </cell>
          <cell r="B51" t="str">
            <v>MedStar Southern MD</v>
          </cell>
          <cell r="C51">
            <v>9777</v>
          </cell>
          <cell r="D51">
            <v>1195</v>
          </cell>
          <cell r="E51">
            <v>0.1222</v>
          </cell>
          <cell r="F51">
            <v>1249.3431</v>
          </cell>
          <cell r="G51">
            <v>0.95650270000000004</v>
          </cell>
          <cell r="H51">
            <v>0.1125</v>
          </cell>
          <cell r="I51">
            <v>9189</v>
          </cell>
          <cell r="J51">
            <v>973</v>
          </cell>
          <cell r="K51">
            <v>0.10589999999999999</v>
          </cell>
          <cell r="L51">
            <v>1211.0658000000001</v>
          </cell>
          <cell r="M51">
            <v>0.80342449999999999</v>
          </cell>
          <cell r="N51">
            <v>9.4500000000000001E-2</v>
          </cell>
          <cell r="O51">
            <v>-0.16</v>
          </cell>
          <cell r="P51">
            <v>-7.6300000000000007E-2</v>
          </cell>
          <cell r="Q51">
            <v>-0.22409200000000001</v>
          </cell>
        </row>
        <row r="52">
          <cell r="A52">
            <v>210063</v>
          </cell>
          <cell r="B52" t="str">
            <v>UM-St. Joe</v>
          </cell>
          <cell r="C52">
            <v>14433</v>
          </cell>
          <cell r="D52">
            <v>1320</v>
          </cell>
          <cell r="E52">
            <v>9.1499999999999998E-2</v>
          </cell>
          <cell r="F52">
            <v>1438.5156999999999</v>
          </cell>
          <cell r="G52">
            <v>0.91761250000000005</v>
          </cell>
          <cell r="H52">
            <v>0.1079</v>
          </cell>
          <cell r="I52">
            <v>13635</v>
          </cell>
          <cell r="J52">
            <v>1303</v>
          </cell>
          <cell r="K52">
            <v>9.5600000000000004E-2</v>
          </cell>
          <cell r="L52">
            <v>1461.6420000000001</v>
          </cell>
          <cell r="M52">
            <v>0.89146320000000001</v>
          </cell>
          <cell r="N52">
            <v>0.10489999999999999</v>
          </cell>
          <cell r="O52">
            <v>-2.7799999999999998E-2</v>
          </cell>
          <cell r="P52">
            <v>-0.10290000000000001</v>
          </cell>
          <cell r="Q52">
            <v>-0.12783900000000001</v>
          </cell>
        </row>
        <row r="53">
          <cell r="A53">
            <v>210064</v>
          </cell>
          <cell r="B53" t="str">
            <v>Levindale</v>
          </cell>
          <cell r="C53">
            <v>1123</v>
          </cell>
          <cell r="D53">
            <v>145</v>
          </cell>
          <cell r="E53">
            <v>0.12909999999999999</v>
          </cell>
          <cell r="F53">
            <v>161.03226000000001</v>
          </cell>
          <cell r="G53">
            <v>0.90044069999999998</v>
          </cell>
          <cell r="H53">
            <v>0.10589999999999999</v>
          </cell>
          <cell r="I53">
            <v>1012</v>
          </cell>
          <cell r="J53">
            <v>137</v>
          </cell>
          <cell r="K53">
            <v>0.13539999999999999</v>
          </cell>
          <cell r="L53">
            <v>144.03528</v>
          </cell>
          <cell r="M53">
            <v>0.95115590000000005</v>
          </cell>
          <cell r="N53">
            <v>0.1119</v>
          </cell>
          <cell r="O53">
            <v>5.67E-2</v>
          </cell>
          <cell r="P53">
            <v>-0.28839999999999999</v>
          </cell>
          <cell r="Q53">
            <v>-0.24805199999999999</v>
          </cell>
        </row>
        <row r="54">
          <cell r="A54">
            <v>210065</v>
          </cell>
          <cell r="B54" t="str">
            <v>HC-Germantown</v>
          </cell>
          <cell r="C54">
            <v>4364</v>
          </cell>
          <cell r="D54">
            <v>462</v>
          </cell>
          <cell r="E54">
            <v>0.10589999999999999</v>
          </cell>
          <cell r="F54">
            <v>506.73451</v>
          </cell>
          <cell r="G54">
            <v>0.91171999999999997</v>
          </cell>
          <cell r="H54">
            <v>0.1072</v>
          </cell>
          <cell r="I54">
            <v>4476</v>
          </cell>
          <cell r="J54">
            <v>490</v>
          </cell>
          <cell r="K54">
            <v>0.1095</v>
          </cell>
          <cell r="L54">
            <v>514.34609999999998</v>
          </cell>
          <cell r="M54">
            <v>0.95266589999999995</v>
          </cell>
          <cell r="N54">
            <v>0.11210000000000001</v>
          </cell>
          <cell r="O54">
            <v>4.5699999999999998E-2</v>
          </cell>
          <cell r="P54" t="str">
            <v xml:space="preserve"> </v>
          </cell>
          <cell r="Q54" t="str">
            <v xml:space="preserve"> </v>
          </cell>
        </row>
        <row r="55">
          <cell r="A55" t="str">
            <v xml:space="preserve"> </v>
          </cell>
          <cell r="B55" t="str">
            <v>STATEWIDE</v>
          </cell>
          <cell r="C55">
            <v>496826</v>
          </cell>
          <cell r="D55">
            <v>58448</v>
          </cell>
          <cell r="E55">
            <v>0.1176</v>
          </cell>
          <cell r="F55">
            <v>58443.506000000001</v>
          </cell>
          <cell r="G55">
            <v>1.0000769</v>
          </cell>
          <cell r="H55">
            <v>0.1176</v>
          </cell>
          <cell r="I55">
            <v>475109</v>
          </cell>
          <cell r="J55">
            <v>55621</v>
          </cell>
          <cell r="K55">
            <v>0.1171</v>
          </cell>
          <cell r="L55">
            <v>58327.262999999999</v>
          </cell>
          <cell r="M55">
            <v>0.95360210000000001</v>
          </cell>
          <cell r="N55">
            <v>0.11219999999999999</v>
          </cell>
          <cell r="O55">
            <v>-4.5900000000000003E-2</v>
          </cell>
          <cell r="P55">
            <v>-0.1075</v>
          </cell>
          <cell r="Q55">
            <v>-0.14846599999999999</v>
          </cell>
        </row>
        <row r="69">
          <cell r="N69">
            <v>0.11025699856298378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5">
          <cell r="C55">
            <v>1.1532951289398281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19 updated"/>
      <sheetName val="FY19 original"/>
      <sheetName val="Sheet1"/>
    </sheetNames>
    <sheetDataSet>
      <sheetData sheetId="0">
        <row r="1">
          <cell r="A1"/>
        </row>
        <row r="2">
          <cell r="A2" t="str">
            <v>Hospital ID</v>
          </cell>
          <cell r="B2" t="str">
            <v>Hospital Name</v>
          </cell>
          <cell r="C2" t="str">
            <v>FY19 Permanent Revenue</v>
          </cell>
          <cell r="D2" t="str">
            <v>Permanent Inpatient Revenue used for FY19 Scaling</v>
          </cell>
        </row>
        <row r="3">
          <cell r="A3">
            <v>210001</v>
          </cell>
          <cell r="B3" t="str">
            <v>MERITUS</v>
          </cell>
          <cell r="C3">
            <v>362368543.1874333</v>
          </cell>
          <cell r="D3">
            <v>219551750.19037277</v>
          </cell>
        </row>
        <row r="4">
          <cell r="A4">
            <v>210002</v>
          </cell>
          <cell r="B4" t="str">
            <v>UNIVERSITY OF MARYLAND</v>
          </cell>
          <cell r="C4">
            <v>1728168161.0448518</v>
          </cell>
          <cell r="D4">
            <v>1203673855.8280954</v>
          </cell>
        </row>
        <row r="5">
          <cell r="A5">
            <v>210003</v>
          </cell>
          <cell r="B5" t="str">
            <v>PRINCE GEORGE</v>
          </cell>
          <cell r="C5">
            <v>348438484.53914267</v>
          </cell>
          <cell r="D5">
            <v>282929187.85055101</v>
          </cell>
        </row>
        <row r="6">
          <cell r="A6">
            <v>210004</v>
          </cell>
          <cell r="B6" t="str">
            <v>HOLY CROSS</v>
          </cell>
          <cell r="C6">
            <v>500698497.22606456</v>
          </cell>
          <cell r="D6">
            <v>355608691.5874365</v>
          </cell>
        </row>
        <row r="7">
          <cell r="A7">
            <v>210005</v>
          </cell>
          <cell r="B7" t="str">
            <v>FREDERICK MEMORIAL</v>
          </cell>
          <cell r="C7">
            <v>345157181.04963773</v>
          </cell>
          <cell r="D7">
            <v>232665826.88068572</v>
          </cell>
        </row>
        <row r="8">
          <cell r="A8">
            <v>210006</v>
          </cell>
          <cell r="B8" t="str">
            <v>HARFORD</v>
          </cell>
          <cell r="C8">
            <v>104913929.34240158</v>
          </cell>
          <cell r="D8">
            <v>54181185.872883432</v>
          </cell>
        </row>
        <row r="9">
          <cell r="A9">
            <v>210008</v>
          </cell>
          <cell r="B9" t="str">
            <v>MERCY</v>
          </cell>
          <cell r="C9">
            <v>536545951.43165791</v>
          </cell>
          <cell r="D9">
            <v>226492002.26683223</v>
          </cell>
        </row>
        <row r="10">
          <cell r="A10">
            <v>210009</v>
          </cell>
          <cell r="B10" t="str">
            <v>JOHNS HOPKINS</v>
          </cell>
          <cell r="C10">
            <v>2422312770.8576393</v>
          </cell>
          <cell r="D10">
            <v>1456687423.7785687</v>
          </cell>
        </row>
        <row r="11">
          <cell r="A11">
            <v>210010</v>
          </cell>
          <cell r="B11" t="str">
            <v>DORCHESTER</v>
          </cell>
          <cell r="C11">
            <v>46645024.237691022</v>
          </cell>
          <cell r="D11">
            <v>22653845.031135526</v>
          </cell>
        </row>
        <row r="12">
          <cell r="A12">
            <v>210011</v>
          </cell>
          <cell r="B12" t="str">
            <v>ST. AGNES</v>
          </cell>
          <cell r="C12">
            <v>414960504.16394675</v>
          </cell>
          <cell r="D12">
            <v>238757730.11486387</v>
          </cell>
        </row>
        <row r="13">
          <cell r="A13">
            <v>210012</v>
          </cell>
          <cell r="B13" t="str">
            <v>SINAI</v>
          </cell>
          <cell r="C13">
            <v>764180996.14415145</v>
          </cell>
          <cell r="D13">
            <v>399817672.84297025</v>
          </cell>
        </row>
        <row r="14">
          <cell r="A14">
            <v>210013</v>
          </cell>
          <cell r="B14" t="str">
            <v>BON SECOURS</v>
          </cell>
          <cell r="C14">
            <v>112784455.86318843</v>
          </cell>
          <cell r="D14">
            <v>64363349.161197074</v>
          </cell>
        </row>
        <row r="15">
          <cell r="A15">
            <v>210015</v>
          </cell>
          <cell r="B15" t="str">
            <v>FRANKLIN SQUARE</v>
          </cell>
          <cell r="C15">
            <v>545849179.21599722</v>
          </cell>
          <cell r="D15">
            <v>306898503.66418034</v>
          </cell>
        </row>
        <row r="16">
          <cell r="A16">
            <v>210016</v>
          </cell>
          <cell r="B16" t="str">
            <v>WASHINGTON ADVENTIST</v>
          </cell>
          <cell r="C16">
            <v>275917608.80301803</v>
          </cell>
          <cell r="D16">
            <v>164197283.45611724</v>
          </cell>
        </row>
        <row r="17">
          <cell r="A17">
            <v>210017</v>
          </cell>
          <cell r="B17" t="str">
            <v>GARRETT COUNTY</v>
          </cell>
          <cell r="C17">
            <v>60636352.179484114</v>
          </cell>
          <cell r="D17">
            <v>23714399.770658769</v>
          </cell>
        </row>
        <row r="18">
          <cell r="A18">
            <v>210018</v>
          </cell>
          <cell r="B18" t="str">
            <v>MONTGOMERY GENERAL</v>
          </cell>
          <cell r="C18">
            <v>176329978.61014849</v>
          </cell>
          <cell r="D18">
            <v>84721645.338150024</v>
          </cell>
        </row>
        <row r="19">
          <cell r="A19">
            <v>210019</v>
          </cell>
          <cell r="B19" t="str">
            <v>PENINSULA REGIONAL</v>
          </cell>
          <cell r="C19">
            <v>440472736.66290438</v>
          </cell>
          <cell r="D19">
            <v>249228263.69537243</v>
          </cell>
        </row>
        <row r="20">
          <cell r="A20">
            <v>210022</v>
          </cell>
          <cell r="B20" t="str">
            <v>SUBURBAN</v>
          </cell>
          <cell r="C20">
            <v>323715549.16028607</v>
          </cell>
          <cell r="D20">
            <v>208954270.03806505</v>
          </cell>
        </row>
        <row r="21">
          <cell r="A21">
            <v>210023</v>
          </cell>
          <cell r="B21" t="str">
            <v>ANNE ARUNDEL</v>
          </cell>
          <cell r="C21">
            <v>617272368.70164418</v>
          </cell>
          <cell r="D21">
            <v>294544505.55355853</v>
          </cell>
        </row>
        <row r="22">
          <cell r="A22">
            <v>210024</v>
          </cell>
          <cell r="B22" t="str">
            <v>UNION MEMORIAL</v>
          </cell>
          <cell r="C22">
            <v>414187672.9067598</v>
          </cell>
          <cell r="D22">
            <v>243156678.61103633</v>
          </cell>
        </row>
        <row r="23">
          <cell r="A23">
            <v>210027</v>
          </cell>
          <cell r="B23" t="str">
            <v>WESTERN MARYLAND HEALTH SYSTEM</v>
          </cell>
          <cell r="C23">
            <v>325414055.49193567</v>
          </cell>
          <cell r="D23">
            <v>169461999.97392026</v>
          </cell>
        </row>
        <row r="24">
          <cell r="A24">
            <v>210028</v>
          </cell>
          <cell r="B24" t="str">
            <v>ST. MARY</v>
          </cell>
          <cell r="C24">
            <v>185289624.10285282</v>
          </cell>
          <cell r="D24">
            <v>79141046.240058914</v>
          </cell>
        </row>
        <row r="25">
          <cell r="A25">
            <v>210029</v>
          </cell>
          <cell r="B25" t="str">
            <v>HOPKINS BAYVIEW MED CTR</v>
          </cell>
          <cell r="C25">
            <v>671715143.74808729</v>
          </cell>
          <cell r="D25">
            <v>366607627.05097502</v>
          </cell>
        </row>
        <row r="26">
          <cell r="A26">
            <v>210030</v>
          </cell>
          <cell r="B26" t="str">
            <v>CHESTERTOWN</v>
          </cell>
          <cell r="C26">
            <v>53535766.10036771</v>
          </cell>
          <cell r="D26">
            <v>17859941.771094728</v>
          </cell>
        </row>
        <row r="27">
          <cell r="A27">
            <v>210032</v>
          </cell>
          <cell r="B27" t="str">
            <v>UNION HOSPITAL  OF CECIL COUNT</v>
          </cell>
          <cell r="C27">
            <v>160537054.32856601</v>
          </cell>
          <cell r="D27">
            <v>65426886.884278983</v>
          </cell>
        </row>
        <row r="28">
          <cell r="A28">
            <v>210033</v>
          </cell>
          <cell r="B28" t="str">
            <v>CARROLL COUNTY</v>
          </cell>
          <cell r="C28">
            <v>227083962.9045724</v>
          </cell>
          <cell r="D28">
            <v>140291848.95110157</v>
          </cell>
        </row>
        <row r="29">
          <cell r="A29">
            <v>210034</v>
          </cell>
          <cell r="B29" t="str">
            <v>HARBOR</v>
          </cell>
          <cell r="C29">
            <v>187602543.67332307</v>
          </cell>
          <cell r="D29">
            <v>110392040.46307562</v>
          </cell>
        </row>
        <row r="30">
          <cell r="A30">
            <v>210035</v>
          </cell>
          <cell r="B30" t="str">
            <v>CHARLES REGIONAL</v>
          </cell>
          <cell r="C30">
            <v>153867989.16881958</v>
          </cell>
          <cell r="D30">
            <v>76930098.256048933</v>
          </cell>
        </row>
        <row r="31">
          <cell r="A31">
            <v>210037</v>
          </cell>
          <cell r="B31" t="str">
            <v>EASTON</v>
          </cell>
          <cell r="C31">
            <v>214261972.7125479</v>
          </cell>
          <cell r="D31">
            <v>103481053.23549819</v>
          </cell>
        </row>
        <row r="32">
          <cell r="A32">
            <v>210038</v>
          </cell>
          <cell r="B32" t="str">
            <v>UMMC MIDTOWN</v>
          </cell>
          <cell r="C32">
            <v>223331473.17698106</v>
          </cell>
          <cell r="D32">
            <v>111141001.82951267</v>
          </cell>
        </row>
        <row r="33">
          <cell r="A33">
            <v>210039</v>
          </cell>
          <cell r="B33" t="str">
            <v>CALVERT</v>
          </cell>
          <cell r="C33">
            <v>146163780.44888815</v>
          </cell>
          <cell r="D33">
            <v>67111996.336183831</v>
          </cell>
        </row>
        <row r="34">
          <cell r="A34">
            <v>210040</v>
          </cell>
          <cell r="B34" t="str">
            <v>NORTHWEST</v>
          </cell>
          <cell r="C34">
            <v>262648421.57924467</v>
          </cell>
          <cell r="D34">
            <v>138719920.48755717</v>
          </cell>
        </row>
        <row r="35">
          <cell r="A35">
            <v>210043</v>
          </cell>
          <cell r="B35" t="str">
            <v>BALTIMORE WASHINGTON MEDICAL CENTER</v>
          </cell>
          <cell r="C35">
            <v>432711981.91458106</v>
          </cell>
          <cell r="D35">
            <v>250217336.46421713</v>
          </cell>
        </row>
        <row r="36">
          <cell r="A36">
            <v>210044</v>
          </cell>
          <cell r="B36" t="str">
            <v>G.B.M.C.</v>
          </cell>
          <cell r="C36">
            <v>460191024.33638883</v>
          </cell>
          <cell r="D36">
            <v>237787317.20252523</v>
          </cell>
        </row>
        <row r="37">
          <cell r="A37">
            <v>210045</v>
          </cell>
          <cell r="B37" t="str">
            <v>MCCREADY</v>
          </cell>
          <cell r="C37">
            <v>14249480.968686718</v>
          </cell>
          <cell r="D37">
            <v>2269931.2301072637</v>
          </cell>
        </row>
        <row r="38">
          <cell r="A38">
            <v>210048</v>
          </cell>
          <cell r="B38" t="str">
            <v>HOWARD COUNTY</v>
          </cell>
          <cell r="C38">
            <v>299669480.93341917</v>
          </cell>
          <cell r="D38">
            <v>182870977.1629326</v>
          </cell>
        </row>
        <row r="39">
          <cell r="A39">
            <v>210049</v>
          </cell>
          <cell r="B39" t="str">
            <v>UPPER CHESAPEAKE HEALTH</v>
          </cell>
          <cell r="C39">
            <v>311867569.56742662</v>
          </cell>
          <cell r="D39">
            <v>128686090.78024776</v>
          </cell>
        </row>
        <row r="40">
          <cell r="A40">
            <v>210051</v>
          </cell>
          <cell r="B40" t="str">
            <v>DOCTORS COMMUNITY</v>
          </cell>
          <cell r="C40">
            <v>247543706.44282448</v>
          </cell>
          <cell r="D40">
            <v>141094311.02338791</v>
          </cell>
        </row>
        <row r="41">
          <cell r="A41">
            <v>210055</v>
          </cell>
          <cell r="B41" t="str">
            <v>LAUREL REGIONAL</v>
          </cell>
          <cell r="C41">
            <v>43653951.300551176</v>
          </cell>
          <cell r="D41"/>
        </row>
        <row r="42">
          <cell r="A42">
            <v>210056</v>
          </cell>
          <cell r="B42" t="str">
            <v>GOOD SAMARITAN</v>
          </cell>
          <cell r="C42">
            <v>258484446.35177794</v>
          </cell>
          <cell r="D42">
            <v>146901578.80024388</v>
          </cell>
        </row>
        <row r="43">
          <cell r="A43">
            <v>210057</v>
          </cell>
          <cell r="B43" t="str">
            <v>SHADY GROVE</v>
          </cell>
          <cell r="C43">
            <v>436099745.7649942</v>
          </cell>
          <cell r="D43">
            <v>251748233.71978343</v>
          </cell>
        </row>
        <row r="44">
          <cell r="A44">
            <v>210058</v>
          </cell>
          <cell r="B44" t="str">
            <v>REHAB &amp; ORTHO</v>
          </cell>
          <cell r="C44">
            <v>120383834.88650474</v>
          </cell>
          <cell r="D44">
            <v>72350285.443095669</v>
          </cell>
        </row>
        <row r="45">
          <cell r="A45">
            <v>210060</v>
          </cell>
          <cell r="B45" t="str">
            <v>FT. WASHINGTON</v>
          </cell>
          <cell r="C45">
            <v>50264399.505942188</v>
          </cell>
          <cell r="D45">
            <v>19890382.559177123</v>
          </cell>
        </row>
        <row r="46">
          <cell r="A46">
            <v>210061</v>
          </cell>
          <cell r="B46" t="str">
            <v>ATLANTIC GENERAL</v>
          </cell>
          <cell r="C46">
            <v>107225177.28135918</v>
          </cell>
          <cell r="D46">
            <v>36931909.829574928</v>
          </cell>
        </row>
        <row r="47">
          <cell r="A47">
            <v>210062</v>
          </cell>
          <cell r="B47" t="str">
            <v>SOUTHERN MARYLAND</v>
          </cell>
          <cell r="C47">
            <v>270197318.69968313</v>
          </cell>
          <cell r="D47">
            <v>162087855.72437662</v>
          </cell>
        </row>
        <row r="48">
          <cell r="A48">
            <v>210063</v>
          </cell>
          <cell r="B48" t="str">
            <v>UM ST. JOSEPH</v>
          </cell>
          <cell r="C48">
            <v>375488512.26807195</v>
          </cell>
          <cell r="D48">
            <v>223399906.96435797</v>
          </cell>
        </row>
        <row r="49">
          <cell r="A49">
            <v>210064</v>
          </cell>
          <cell r="B49" t="str">
            <v>Levindale</v>
          </cell>
          <cell r="C49">
            <v>59867175.208568588</v>
          </cell>
          <cell r="D49">
            <v>57510718.993812039</v>
          </cell>
        </row>
        <row r="50">
          <cell r="A50">
            <v>210065</v>
          </cell>
          <cell r="B50" t="str">
            <v>HOLY CROSS GERMANTOWN</v>
          </cell>
          <cell r="C50">
            <v>103680715.85917763</v>
          </cell>
          <cell r="D50">
            <v>59062315.291286595</v>
          </cell>
        </row>
        <row r="51">
          <cell r="A51"/>
          <cell r="B51"/>
          <cell r="C51"/>
          <cell r="D51"/>
        </row>
        <row r="52">
          <cell r="B52" t="str">
            <v>State</v>
          </cell>
          <cell r="C52">
            <v>16944586254.054193</v>
          </cell>
          <cell r="D52">
            <v>9752172684.2011623</v>
          </cell>
        </row>
        <row r="54">
          <cell r="A54">
            <v>218992</v>
          </cell>
          <cell r="B54" t="str">
            <v>University of Maryland - MIEMSS</v>
          </cell>
          <cell r="C54"/>
          <cell r="D54"/>
        </row>
        <row r="55">
          <cell r="A55">
            <v>210055</v>
          </cell>
          <cell r="B55" t="str">
            <v>LAUREL REGIONAL</v>
          </cell>
          <cell r="C55">
            <v>43653951.300551176</v>
          </cell>
          <cell r="D55">
            <v>24520064.117097814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69"/>
  <sheetViews>
    <sheetView tabSelected="1" workbookViewId="0">
      <selection sqref="A1:H1"/>
    </sheetView>
  </sheetViews>
  <sheetFormatPr defaultColWidth="8.85546875" defaultRowHeight="15"/>
  <cols>
    <col min="1" max="1" width="11.42578125" style="1" customWidth="1"/>
    <col min="2" max="2" width="35.42578125" style="1" customWidth="1"/>
    <col min="3" max="3" width="17.85546875" style="1" customWidth="1"/>
    <col min="4" max="4" width="14" style="1" customWidth="1"/>
    <col min="5" max="5" width="12.42578125" style="1" customWidth="1"/>
    <col min="6" max="6" width="14.42578125" style="1" customWidth="1"/>
    <col min="7" max="7" width="12.28515625" style="1" customWidth="1"/>
    <col min="8" max="8" width="17.42578125" style="1" customWidth="1"/>
    <col min="9" max="9" width="13.7109375" style="1" customWidth="1"/>
    <col min="10" max="10" width="16" style="1" customWidth="1"/>
    <col min="11" max="13" width="13.7109375" style="1" customWidth="1"/>
    <col min="14" max="14" width="16" style="1" customWidth="1"/>
    <col min="15" max="15" width="20.28515625" style="1" customWidth="1"/>
    <col min="16" max="16" width="15.42578125" style="1" customWidth="1"/>
    <col min="17" max="17" width="13.28515625" style="1" customWidth="1"/>
    <col min="18" max="16384" width="8.85546875" style="1"/>
  </cols>
  <sheetData>
    <row r="1" spans="1:17" ht="15.75" customHeight="1">
      <c r="A1" s="119" t="s">
        <v>189</v>
      </c>
      <c r="B1" s="119"/>
      <c r="C1" s="119"/>
      <c r="D1" s="119"/>
      <c r="E1" s="119"/>
      <c r="F1" s="119"/>
      <c r="G1" s="119"/>
      <c r="H1" s="119"/>
      <c r="I1" s="73"/>
      <c r="J1" s="73"/>
      <c r="K1" s="73"/>
      <c r="L1" s="73"/>
      <c r="M1" s="73"/>
      <c r="N1" s="73"/>
      <c r="O1" s="73"/>
      <c r="P1" s="73"/>
      <c r="Q1" s="73"/>
    </row>
    <row r="2" spans="1:17" ht="15" customHeight="1">
      <c r="A2" s="120" t="s">
        <v>198</v>
      </c>
      <c r="B2" s="120"/>
      <c r="C2" s="120"/>
      <c r="D2" s="120"/>
      <c r="E2" s="120"/>
      <c r="F2" s="120"/>
      <c r="G2" s="120"/>
      <c r="H2" s="120"/>
      <c r="I2" s="74"/>
      <c r="J2" s="74"/>
      <c r="K2" s="74"/>
      <c r="L2" s="74"/>
      <c r="M2" s="74"/>
      <c r="N2" s="74"/>
      <c r="O2" s="74"/>
      <c r="P2" s="74"/>
      <c r="Q2" s="74"/>
    </row>
    <row r="3" spans="1:17" ht="15" customHeight="1">
      <c r="A3" s="103"/>
      <c r="B3" s="103"/>
      <c r="C3" s="103"/>
      <c r="D3" s="103"/>
      <c r="E3" s="103"/>
      <c r="F3" s="103"/>
      <c r="G3" s="103"/>
      <c r="H3" s="103"/>
      <c r="I3" s="74"/>
      <c r="J3" s="74"/>
      <c r="K3" s="74"/>
      <c r="L3" s="74"/>
      <c r="M3" s="74"/>
      <c r="N3" s="74"/>
      <c r="O3" s="74"/>
      <c r="P3" s="74"/>
      <c r="Q3" s="74"/>
    </row>
    <row r="4" spans="1:17" ht="15" customHeight="1">
      <c r="A4" s="117" t="s">
        <v>128</v>
      </c>
      <c r="B4" s="118"/>
      <c r="C4" s="113" t="s">
        <v>199</v>
      </c>
      <c r="D4" s="113"/>
      <c r="E4" s="113"/>
      <c r="F4" s="113"/>
      <c r="G4" s="113"/>
      <c r="H4" s="114"/>
      <c r="I4" s="115" t="s">
        <v>200</v>
      </c>
      <c r="J4" s="115"/>
      <c r="K4" s="115"/>
      <c r="L4" s="115"/>
      <c r="M4" s="115"/>
      <c r="N4" s="115"/>
      <c r="O4" s="115"/>
      <c r="P4" s="115"/>
      <c r="Q4" s="116"/>
    </row>
    <row r="5" spans="1:17" ht="25.5">
      <c r="A5" s="53" t="s">
        <v>0</v>
      </c>
      <c r="B5" s="53" t="s">
        <v>1</v>
      </c>
      <c r="C5" s="76" t="s">
        <v>2</v>
      </c>
      <c r="D5" s="76" t="s">
        <v>3</v>
      </c>
      <c r="E5" s="76" t="s">
        <v>4</v>
      </c>
      <c r="F5" s="76" t="s">
        <v>5</v>
      </c>
      <c r="G5" s="76" t="s">
        <v>6</v>
      </c>
      <c r="H5" s="76" t="s">
        <v>182</v>
      </c>
      <c r="I5" s="78" t="s">
        <v>7</v>
      </c>
      <c r="J5" s="78" t="s">
        <v>8</v>
      </c>
      <c r="K5" s="78" t="s">
        <v>9</v>
      </c>
      <c r="L5" s="78" t="s">
        <v>10</v>
      </c>
      <c r="M5" s="78" t="s">
        <v>11</v>
      </c>
      <c r="N5" s="78" t="s">
        <v>183</v>
      </c>
      <c r="O5" s="78" t="s">
        <v>12</v>
      </c>
      <c r="P5" s="78" t="s">
        <v>13</v>
      </c>
      <c r="Q5" s="78" t="s">
        <v>184</v>
      </c>
    </row>
    <row r="6" spans="1:17" ht="76.5">
      <c r="A6" s="104" t="s">
        <v>64</v>
      </c>
      <c r="B6" s="104" t="s">
        <v>65</v>
      </c>
      <c r="C6" s="105" t="s">
        <v>15</v>
      </c>
      <c r="D6" s="105" t="s">
        <v>16</v>
      </c>
      <c r="E6" s="105" t="s">
        <v>17</v>
      </c>
      <c r="F6" s="105" t="s">
        <v>18</v>
      </c>
      <c r="G6" s="105" t="s">
        <v>19</v>
      </c>
      <c r="H6" s="105" t="s">
        <v>20</v>
      </c>
      <c r="I6" s="106" t="s">
        <v>15</v>
      </c>
      <c r="J6" s="106" t="s">
        <v>16</v>
      </c>
      <c r="K6" s="106" t="s">
        <v>17</v>
      </c>
      <c r="L6" s="106" t="s">
        <v>18</v>
      </c>
      <c r="M6" s="106" t="s">
        <v>19</v>
      </c>
      <c r="N6" s="106" t="s">
        <v>20</v>
      </c>
      <c r="O6" s="106" t="s">
        <v>126</v>
      </c>
      <c r="P6" s="106" t="s">
        <v>21</v>
      </c>
      <c r="Q6" s="106" t="s">
        <v>185</v>
      </c>
    </row>
    <row r="7" spans="1:17">
      <c r="A7" s="86">
        <v>210001</v>
      </c>
      <c r="B7" s="87" t="s">
        <v>129</v>
      </c>
      <c r="C7" s="88">
        <v>13825</v>
      </c>
      <c r="D7" s="88">
        <v>1534</v>
      </c>
      <c r="E7" s="89">
        <v>0.111</v>
      </c>
      <c r="F7" s="88">
        <v>1609.8658</v>
      </c>
      <c r="G7" s="90">
        <v>0.95287449999999996</v>
      </c>
      <c r="H7" s="89">
        <v>0.11210000000000001</v>
      </c>
      <c r="I7" s="88">
        <v>13528</v>
      </c>
      <c r="J7" s="88">
        <v>1545</v>
      </c>
      <c r="K7" s="89">
        <v>0.1142</v>
      </c>
      <c r="L7" s="88">
        <v>1684.4345000000001</v>
      </c>
      <c r="M7" s="90">
        <v>0.91722179999999998</v>
      </c>
      <c r="N7" s="89">
        <v>0.1079</v>
      </c>
      <c r="O7" s="89">
        <v>-3.7499999999999999E-2</v>
      </c>
      <c r="P7" s="89">
        <v>-6.4399999999999999E-2</v>
      </c>
      <c r="Q7" s="89">
        <v>-9.9485000000000004E-2</v>
      </c>
    </row>
    <row r="8" spans="1:17">
      <c r="A8" s="86">
        <v>210002</v>
      </c>
      <c r="B8" s="87" t="s">
        <v>130</v>
      </c>
      <c r="C8" s="88">
        <v>22741</v>
      </c>
      <c r="D8" s="88">
        <v>3277</v>
      </c>
      <c r="E8" s="89">
        <v>0.14410000000000001</v>
      </c>
      <c r="F8" s="88">
        <v>2965.5434</v>
      </c>
      <c r="G8" s="90">
        <v>1.1050252</v>
      </c>
      <c r="H8" s="89">
        <v>0.13</v>
      </c>
      <c r="I8" s="88">
        <v>22729</v>
      </c>
      <c r="J8" s="88">
        <v>3301</v>
      </c>
      <c r="K8" s="89">
        <v>0.1452</v>
      </c>
      <c r="L8" s="88">
        <v>3057.4124999999999</v>
      </c>
      <c r="M8" s="90">
        <v>1.0796711000000001</v>
      </c>
      <c r="N8" s="89">
        <v>0.127</v>
      </c>
      <c r="O8" s="89">
        <v>-2.3099999999999999E-2</v>
      </c>
      <c r="P8" s="89">
        <v>-0.1195</v>
      </c>
      <c r="Q8" s="89">
        <v>-0.13983999999999999</v>
      </c>
    </row>
    <row r="9" spans="1:17">
      <c r="A9" s="86">
        <v>210003</v>
      </c>
      <c r="B9" s="87" t="s">
        <v>131</v>
      </c>
      <c r="C9" s="88">
        <v>10699</v>
      </c>
      <c r="D9" s="88">
        <v>1205</v>
      </c>
      <c r="E9" s="89">
        <v>0.11260000000000001</v>
      </c>
      <c r="F9" s="88">
        <v>1292.8996999999999</v>
      </c>
      <c r="G9" s="90">
        <v>0.93201350000000005</v>
      </c>
      <c r="H9" s="89">
        <v>0.1096</v>
      </c>
      <c r="I9" s="88">
        <v>10945</v>
      </c>
      <c r="J9" s="88">
        <v>1324</v>
      </c>
      <c r="K9" s="89">
        <v>0.121</v>
      </c>
      <c r="L9" s="88">
        <v>1432.9350999999999</v>
      </c>
      <c r="M9" s="90">
        <v>0.92397759999999995</v>
      </c>
      <c r="N9" s="89">
        <v>0.1087</v>
      </c>
      <c r="O9" s="89">
        <v>-8.2000000000000007E-3</v>
      </c>
      <c r="P9" s="89">
        <v>-2.8E-3</v>
      </c>
      <c r="Q9" s="89">
        <v>-1.0977000000000001E-2</v>
      </c>
    </row>
    <row r="10" spans="1:17">
      <c r="A10" s="86">
        <v>210004</v>
      </c>
      <c r="B10" s="87" t="s">
        <v>132</v>
      </c>
      <c r="C10" s="88">
        <v>24365</v>
      </c>
      <c r="D10" s="88">
        <v>2135</v>
      </c>
      <c r="E10" s="89">
        <v>8.7599999999999997E-2</v>
      </c>
      <c r="F10" s="88">
        <v>2147.3487</v>
      </c>
      <c r="G10" s="90">
        <v>0.9942493</v>
      </c>
      <c r="H10" s="89">
        <v>0.11700000000000001</v>
      </c>
      <c r="I10" s="88">
        <v>23466</v>
      </c>
      <c r="J10" s="88">
        <v>1931</v>
      </c>
      <c r="K10" s="89">
        <v>8.2299999999999998E-2</v>
      </c>
      <c r="L10" s="88">
        <v>2026.6682000000001</v>
      </c>
      <c r="M10" s="90">
        <v>0.95279530000000001</v>
      </c>
      <c r="N10" s="89">
        <v>0.11210000000000001</v>
      </c>
      <c r="O10" s="89">
        <v>-4.19E-2</v>
      </c>
      <c r="P10" s="89">
        <v>2.3E-2</v>
      </c>
      <c r="Q10" s="89">
        <v>-1.9864E-2</v>
      </c>
    </row>
    <row r="11" spans="1:17">
      <c r="A11" s="86">
        <v>210005</v>
      </c>
      <c r="B11" s="87" t="s">
        <v>133</v>
      </c>
      <c r="C11" s="88">
        <v>14284</v>
      </c>
      <c r="D11" s="88">
        <v>1373</v>
      </c>
      <c r="E11" s="89">
        <v>9.6100000000000005E-2</v>
      </c>
      <c r="F11" s="88">
        <v>1663.9954</v>
      </c>
      <c r="G11" s="90">
        <v>0.82512249999999998</v>
      </c>
      <c r="H11" s="89">
        <v>9.7100000000000006E-2</v>
      </c>
      <c r="I11" s="88">
        <v>14748</v>
      </c>
      <c r="J11" s="88">
        <v>1503</v>
      </c>
      <c r="K11" s="89">
        <v>0.1019</v>
      </c>
      <c r="L11" s="88">
        <v>1812.1104</v>
      </c>
      <c r="M11" s="90">
        <v>0.82941969999999998</v>
      </c>
      <c r="N11" s="89">
        <v>9.7600000000000006E-2</v>
      </c>
      <c r="O11" s="89">
        <v>5.1000000000000004E-3</v>
      </c>
      <c r="P11" s="89">
        <v>-9.8100000000000007E-2</v>
      </c>
      <c r="Q11" s="89">
        <v>-9.35E-2</v>
      </c>
    </row>
    <row r="12" spans="1:17">
      <c r="A12" s="86">
        <v>210006</v>
      </c>
      <c r="B12" s="87" t="s">
        <v>134</v>
      </c>
      <c r="C12" s="88">
        <v>4072</v>
      </c>
      <c r="D12" s="88">
        <v>630</v>
      </c>
      <c r="E12" s="89">
        <v>0.1547</v>
      </c>
      <c r="F12" s="88">
        <v>583.89340000000004</v>
      </c>
      <c r="G12" s="90">
        <v>1.0789641000000001</v>
      </c>
      <c r="H12" s="89">
        <v>0.12690000000000001</v>
      </c>
      <c r="I12" s="88">
        <v>3928</v>
      </c>
      <c r="J12" s="88">
        <v>531</v>
      </c>
      <c r="K12" s="89">
        <v>0.13519999999999999</v>
      </c>
      <c r="L12" s="88">
        <v>592.22807</v>
      </c>
      <c r="M12" s="90">
        <v>0.89661400000000002</v>
      </c>
      <c r="N12" s="89">
        <v>0.1055</v>
      </c>
      <c r="O12" s="89">
        <v>-0.1686</v>
      </c>
      <c r="P12" s="89">
        <v>5.3800000000000001E-2</v>
      </c>
      <c r="Q12" s="89">
        <v>-0.123871</v>
      </c>
    </row>
    <row r="13" spans="1:17" ht="16.5" customHeight="1">
      <c r="A13" s="86">
        <v>210008</v>
      </c>
      <c r="B13" s="87" t="s">
        <v>135</v>
      </c>
      <c r="C13" s="88">
        <v>12715</v>
      </c>
      <c r="D13" s="88">
        <v>1049</v>
      </c>
      <c r="E13" s="89">
        <v>8.2500000000000004E-2</v>
      </c>
      <c r="F13" s="88">
        <v>997.45599000000004</v>
      </c>
      <c r="G13" s="90">
        <v>1.0516755</v>
      </c>
      <c r="H13" s="89">
        <v>0.1237</v>
      </c>
      <c r="I13" s="88">
        <v>12705</v>
      </c>
      <c r="J13" s="88">
        <v>1130</v>
      </c>
      <c r="K13" s="89">
        <v>8.8900000000000007E-2</v>
      </c>
      <c r="L13" s="88">
        <v>1107.9806000000001</v>
      </c>
      <c r="M13" s="90">
        <v>1.0198735000000001</v>
      </c>
      <c r="N13" s="89">
        <v>0.12</v>
      </c>
      <c r="O13" s="89">
        <v>-2.9899999999999999E-2</v>
      </c>
      <c r="P13" s="89">
        <v>-0.18479999999999999</v>
      </c>
      <c r="Q13" s="89">
        <v>-0.209174</v>
      </c>
    </row>
    <row r="14" spans="1:17">
      <c r="A14" s="86">
        <v>210009</v>
      </c>
      <c r="B14" s="87" t="s">
        <v>22</v>
      </c>
      <c r="C14" s="88">
        <v>39791</v>
      </c>
      <c r="D14" s="88">
        <v>5725</v>
      </c>
      <c r="E14" s="89">
        <v>0.1439</v>
      </c>
      <c r="F14" s="88">
        <v>5172.7547999999997</v>
      </c>
      <c r="G14" s="90">
        <v>1.1067604</v>
      </c>
      <c r="H14" s="89">
        <v>0.13020000000000001</v>
      </c>
      <c r="I14" s="88">
        <v>37399</v>
      </c>
      <c r="J14" s="88">
        <v>5494</v>
      </c>
      <c r="K14" s="89">
        <v>0.1469</v>
      </c>
      <c r="L14" s="88">
        <v>5104.2497000000003</v>
      </c>
      <c r="M14" s="90">
        <v>1.0763579999999999</v>
      </c>
      <c r="N14" s="89">
        <v>0.12659999999999999</v>
      </c>
      <c r="O14" s="89">
        <v>-2.76E-2</v>
      </c>
      <c r="P14" s="89">
        <v>-0.12659999999999999</v>
      </c>
      <c r="Q14" s="89">
        <v>-0.15070600000000001</v>
      </c>
    </row>
    <row r="15" spans="1:17">
      <c r="A15" s="86">
        <v>210010</v>
      </c>
      <c r="B15" s="87" t="s">
        <v>136</v>
      </c>
      <c r="C15" s="88">
        <v>2214</v>
      </c>
      <c r="D15" s="88">
        <v>322</v>
      </c>
      <c r="E15" s="89">
        <v>0.1454</v>
      </c>
      <c r="F15" s="88">
        <v>308.61642999999998</v>
      </c>
      <c r="G15" s="90">
        <v>1.0433664</v>
      </c>
      <c r="H15" s="89">
        <v>0.1227</v>
      </c>
      <c r="I15" s="88">
        <v>1653</v>
      </c>
      <c r="J15" s="88">
        <v>203</v>
      </c>
      <c r="K15" s="89">
        <v>0.12280000000000001</v>
      </c>
      <c r="L15" s="88">
        <v>248.90916000000001</v>
      </c>
      <c r="M15" s="90">
        <v>0.81555860000000002</v>
      </c>
      <c r="N15" s="89">
        <v>9.5899999999999999E-2</v>
      </c>
      <c r="O15" s="89">
        <v>-0.21840000000000001</v>
      </c>
      <c r="P15" s="89">
        <v>4.3099999999999999E-2</v>
      </c>
      <c r="Q15" s="89">
        <v>-0.18471299999999999</v>
      </c>
    </row>
    <row r="16" spans="1:17">
      <c r="A16" s="86">
        <v>210011</v>
      </c>
      <c r="B16" s="87" t="s">
        <v>137</v>
      </c>
      <c r="C16" s="88">
        <v>14790</v>
      </c>
      <c r="D16" s="88">
        <v>1789</v>
      </c>
      <c r="E16" s="89">
        <v>0.121</v>
      </c>
      <c r="F16" s="88">
        <v>1741.7506000000001</v>
      </c>
      <c r="G16" s="90">
        <v>1.0271275</v>
      </c>
      <c r="H16" s="89">
        <v>0.1208</v>
      </c>
      <c r="I16" s="88">
        <v>13513</v>
      </c>
      <c r="J16" s="88">
        <v>1676</v>
      </c>
      <c r="K16" s="89">
        <v>0.124</v>
      </c>
      <c r="L16" s="88">
        <v>1666.5247999999999</v>
      </c>
      <c r="M16" s="90">
        <v>1.0056856000000001</v>
      </c>
      <c r="N16" s="89">
        <v>0.1183</v>
      </c>
      <c r="O16" s="89">
        <v>-2.07E-2</v>
      </c>
      <c r="P16" s="89">
        <v>-0.1336</v>
      </c>
      <c r="Q16" s="89">
        <v>-0.151534</v>
      </c>
    </row>
    <row r="17" spans="1:17">
      <c r="A17" s="86">
        <v>210012</v>
      </c>
      <c r="B17" s="87" t="s">
        <v>138</v>
      </c>
      <c r="C17" s="88">
        <v>15633</v>
      </c>
      <c r="D17" s="88">
        <v>2061</v>
      </c>
      <c r="E17" s="89">
        <v>0.1318</v>
      </c>
      <c r="F17" s="88">
        <v>1971.4973</v>
      </c>
      <c r="G17" s="90">
        <v>1.0453983</v>
      </c>
      <c r="H17" s="89">
        <v>0.123</v>
      </c>
      <c r="I17" s="88">
        <v>13880</v>
      </c>
      <c r="J17" s="88">
        <v>1665</v>
      </c>
      <c r="K17" s="89">
        <v>0.12</v>
      </c>
      <c r="L17" s="88">
        <v>1770.7698</v>
      </c>
      <c r="M17" s="90">
        <v>0.94026900000000002</v>
      </c>
      <c r="N17" s="89">
        <v>0.1106</v>
      </c>
      <c r="O17" s="89">
        <v>-0.1008</v>
      </c>
      <c r="P17" s="89">
        <v>-0.1668</v>
      </c>
      <c r="Q17" s="89">
        <v>-0.25078699999999998</v>
      </c>
    </row>
    <row r="18" spans="1:17">
      <c r="A18" s="86">
        <v>210013</v>
      </c>
      <c r="B18" s="87" t="s">
        <v>23</v>
      </c>
      <c r="C18" s="88">
        <v>3476</v>
      </c>
      <c r="D18" s="88">
        <v>764</v>
      </c>
      <c r="E18" s="89">
        <v>0.2198</v>
      </c>
      <c r="F18" s="88">
        <v>576.64233999999999</v>
      </c>
      <c r="G18" s="90">
        <v>1.3249114</v>
      </c>
      <c r="H18" s="89">
        <v>0.15590000000000001</v>
      </c>
      <c r="I18" s="88">
        <v>2887</v>
      </c>
      <c r="J18" s="88">
        <v>619</v>
      </c>
      <c r="K18" s="89">
        <v>0.21440000000000001</v>
      </c>
      <c r="L18" s="88">
        <v>481.05155999999999</v>
      </c>
      <c r="M18" s="90">
        <v>1.2867644</v>
      </c>
      <c r="N18" s="89">
        <v>0.15140000000000001</v>
      </c>
      <c r="O18" s="89">
        <v>-2.8899999999999999E-2</v>
      </c>
      <c r="P18" s="89">
        <v>-0.22770000000000001</v>
      </c>
      <c r="Q18" s="89">
        <v>-0.25001899999999999</v>
      </c>
    </row>
    <row r="19" spans="1:17">
      <c r="A19" s="86">
        <v>210015</v>
      </c>
      <c r="B19" s="87" t="s">
        <v>139</v>
      </c>
      <c r="C19" s="88">
        <v>19118</v>
      </c>
      <c r="D19" s="88">
        <v>2544</v>
      </c>
      <c r="E19" s="89">
        <v>0.1331</v>
      </c>
      <c r="F19" s="88">
        <v>2351.8928000000001</v>
      </c>
      <c r="G19" s="90">
        <v>1.081682</v>
      </c>
      <c r="H19" s="89">
        <v>0.12720000000000001</v>
      </c>
      <c r="I19" s="88">
        <v>19336</v>
      </c>
      <c r="J19" s="88">
        <v>2623</v>
      </c>
      <c r="K19" s="89">
        <v>0.13569999999999999</v>
      </c>
      <c r="L19" s="88">
        <v>2465.9785999999999</v>
      </c>
      <c r="M19" s="90">
        <v>1.0636751</v>
      </c>
      <c r="N19" s="89">
        <v>0.12509999999999999</v>
      </c>
      <c r="O19" s="89">
        <v>-1.6500000000000001E-2</v>
      </c>
      <c r="P19" s="89">
        <v>-4.3299999999999998E-2</v>
      </c>
      <c r="Q19" s="89">
        <v>-5.9086E-2</v>
      </c>
    </row>
    <row r="20" spans="1:17">
      <c r="A20" s="86">
        <v>210016</v>
      </c>
      <c r="B20" s="87" t="s">
        <v>24</v>
      </c>
      <c r="C20" s="88">
        <v>9399</v>
      </c>
      <c r="D20" s="88">
        <v>977</v>
      </c>
      <c r="E20" s="89">
        <v>0.10390000000000001</v>
      </c>
      <c r="F20" s="88">
        <v>1107.1315</v>
      </c>
      <c r="G20" s="90">
        <v>0.88246060000000004</v>
      </c>
      <c r="H20" s="89">
        <v>0.1038</v>
      </c>
      <c r="I20" s="88">
        <v>9210</v>
      </c>
      <c r="J20" s="88">
        <v>868</v>
      </c>
      <c r="K20" s="89">
        <v>9.4200000000000006E-2</v>
      </c>
      <c r="L20" s="88">
        <v>1046.674</v>
      </c>
      <c r="M20" s="90">
        <v>0.82929359999999996</v>
      </c>
      <c r="N20" s="89">
        <v>9.7600000000000006E-2</v>
      </c>
      <c r="O20" s="89">
        <v>-5.9700000000000003E-2</v>
      </c>
      <c r="P20" s="89">
        <v>-0.1077</v>
      </c>
      <c r="Q20" s="89">
        <v>-0.16097</v>
      </c>
    </row>
    <row r="21" spans="1:17">
      <c r="A21" s="86">
        <v>210017</v>
      </c>
      <c r="B21" s="87" t="s">
        <v>140</v>
      </c>
      <c r="C21" s="88">
        <v>1965</v>
      </c>
      <c r="D21" s="88">
        <v>104</v>
      </c>
      <c r="E21" s="89">
        <v>5.2900000000000003E-2</v>
      </c>
      <c r="F21" s="88">
        <v>208.52110999999999</v>
      </c>
      <c r="G21" s="90">
        <v>0.49875049999999999</v>
      </c>
      <c r="H21" s="89">
        <v>5.8700000000000002E-2</v>
      </c>
      <c r="I21" s="88">
        <v>1903</v>
      </c>
      <c r="J21" s="88">
        <v>130</v>
      </c>
      <c r="K21" s="89">
        <v>6.83E-2</v>
      </c>
      <c r="L21" s="88">
        <v>226.53945999999999</v>
      </c>
      <c r="M21" s="90">
        <v>0.57385149999999996</v>
      </c>
      <c r="N21" s="89">
        <v>6.7500000000000004E-2</v>
      </c>
      <c r="O21" s="89">
        <v>0.14990000000000001</v>
      </c>
      <c r="P21" s="89">
        <v>-0.1719</v>
      </c>
      <c r="Q21" s="89">
        <v>-4.7767999999999998E-2</v>
      </c>
    </row>
    <row r="22" spans="1:17">
      <c r="A22" s="86">
        <v>210018</v>
      </c>
      <c r="B22" s="87" t="s">
        <v>141</v>
      </c>
      <c r="C22" s="88">
        <v>6529</v>
      </c>
      <c r="D22" s="88">
        <v>760</v>
      </c>
      <c r="E22" s="89">
        <v>0.1164</v>
      </c>
      <c r="F22" s="88">
        <v>826.02769000000001</v>
      </c>
      <c r="G22" s="90">
        <v>0.92006600000000005</v>
      </c>
      <c r="H22" s="89">
        <v>0.1082</v>
      </c>
      <c r="I22" s="88">
        <v>6191</v>
      </c>
      <c r="J22" s="88">
        <v>720</v>
      </c>
      <c r="K22" s="89">
        <v>0.1163</v>
      </c>
      <c r="L22" s="88">
        <v>795.28957000000003</v>
      </c>
      <c r="M22" s="90">
        <v>0.90533059999999999</v>
      </c>
      <c r="N22" s="89">
        <v>0.1065</v>
      </c>
      <c r="O22" s="89">
        <v>-1.5699999999999999E-2</v>
      </c>
      <c r="P22" s="89">
        <v>-0.14219999999999999</v>
      </c>
      <c r="Q22" s="89">
        <v>-0.155667</v>
      </c>
    </row>
    <row r="23" spans="1:17">
      <c r="A23" s="86">
        <v>210019</v>
      </c>
      <c r="B23" s="87" t="s">
        <v>142</v>
      </c>
      <c r="C23" s="88">
        <v>16003</v>
      </c>
      <c r="D23" s="88">
        <v>1690</v>
      </c>
      <c r="E23" s="89">
        <v>0.1056</v>
      </c>
      <c r="F23" s="88">
        <v>1870.5971</v>
      </c>
      <c r="G23" s="90">
        <v>0.90345489999999995</v>
      </c>
      <c r="H23" s="89">
        <v>0.10630000000000001</v>
      </c>
      <c r="I23" s="88">
        <v>15429</v>
      </c>
      <c r="J23" s="88">
        <v>1730</v>
      </c>
      <c r="K23" s="89">
        <v>0.11210000000000001</v>
      </c>
      <c r="L23" s="88">
        <v>1914.2864</v>
      </c>
      <c r="M23" s="90">
        <v>0.90373099999999995</v>
      </c>
      <c r="N23" s="89">
        <v>0.10630000000000001</v>
      </c>
      <c r="O23" s="89">
        <v>0</v>
      </c>
      <c r="P23" s="89">
        <v>-5.2600000000000001E-2</v>
      </c>
      <c r="Q23" s="89">
        <v>-5.2600000000000001E-2</v>
      </c>
    </row>
    <row r="24" spans="1:17">
      <c r="A24" s="86">
        <v>210022</v>
      </c>
      <c r="B24" s="87" t="s">
        <v>143</v>
      </c>
      <c r="C24" s="88">
        <v>12477</v>
      </c>
      <c r="D24" s="88">
        <v>1441</v>
      </c>
      <c r="E24" s="89">
        <v>0.11550000000000001</v>
      </c>
      <c r="F24" s="88">
        <v>1510.8648000000001</v>
      </c>
      <c r="G24" s="90">
        <v>0.95375840000000001</v>
      </c>
      <c r="H24" s="89">
        <v>0.11219999999999999</v>
      </c>
      <c r="I24" s="88">
        <v>12934</v>
      </c>
      <c r="J24" s="88">
        <v>1435</v>
      </c>
      <c r="K24" s="89">
        <v>0.1109</v>
      </c>
      <c r="L24" s="88">
        <v>1633.1823999999999</v>
      </c>
      <c r="M24" s="90">
        <v>0.87865260000000001</v>
      </c>
      <c r="N24" s="89">
        <v>0.10340000000000001</v>
      </c>
      <c r="O24" s="89">
        <v>-7.8399999999999997E-2</v>
      </c>
      <c r="P24" s="89">
        <v>-1.9699999999999999E-2</v>
      </c>
      <c r="Q24" s="89">
        <v>-9.6556000000000003E-2</v>
      </c>
    </row>
    <row r="25" spans="1:17">
      <c r="A25" s="86">
        <v>210023</v>
      </c>
      <c r="B25" s="87" t="s">
        <v>144</v>
      </c>
      <c r="C25" s="88">
        <v>24723</v>
      </c>
      <c r="D25" s="88">
        <v>2073</v>
      </c>
      <c r="E25" s="89">
        <v>8.3799999999999999E-2</v>
      </c>
      <c r="F25" s="88">
        <v>2170.5623000000001</v>
      </c>
      <c r="G25" s="90">
        <v>0.95505209999999996</v>
      </c>
      <c r="H25" s="89">
        <v>0.1123</v>
      </c>
      <c r="I25" s="88">
        <v>23041</v>
      </c>
      <c r="J25" s="88">
        <v>2128</v>
      </c>
      <c r="K25" s="89">
        <v>9.2399999999999996E-2</v>
      </c>
      <c r="L25" s="88">
        <v>2238.5317</v>
      </c>
      <c r="M25" s="90">
        <v>0.95062310000000005</v>
      </c>
      <c r="N25" s="89">
        <v>0.1118</v>
      </c>
      <c r="O25" s="89">
        <v>-4.4999999999999997E-3</v>
      </c>
      <c r="P25" s="89">
        <v>-9.5000000000000001E-2</v>
      </c>
      <c r="Q25" s="89">
        <v>-9.9071999999999993E-2</v>
      </c>
    </row>
    <row r="26" spans="1:17">
      <c r="A26" s="86">
        <v>210024</v>
      </c>
      <c r="B26" s="87" t="s">
        <v>145</v>
      </c>
      <c r="C26" s="88">
        <v>10242</v>
      </c>
      <c r="D26" s="88">
        <v>1399</v>
      </c>
      <c r="E26" s="89">
        <v>0.1366</v>
      </c>
      <c r="F26" s="88">
        <v>1290.7022999999999</v>
      </c>
      <c r="G26" s="90">
        <v>1.083906</v>
      </c>
      <c r="H26" s="89">
        <v>0.1275</v>
      </c>
      <c r="I26" s="88">
        <v>9889</v>
      </c>
      <c r="J26" s="88">
        <v>1259</v>
      </c>
      <c r="K26" s="89">
        <v>0.1273</v>
      </c>
      <c r="L26" s="88">
        <v>1259.8445999999999</v>
      </c>
      <c r="M26" s="90">
        <v>0.99932960000000004</v>
      </c>
      <c r="N26" s="89">
        <v>0.1176</v>
      </c>
      <c r="O26" s="89">
        <v>-7.7600000000000002E-2</v>
      </c>
      <c r="P26" s="89">
        <v>-0.14560000000000001</v>
      </c>
      <c r="Q26" s="89">
        <v>-0.21190100000000001</v>
      </c>
    </row>
    <row r="27" spans="1:17">
      <c r="A27" s="86">
        <v>210027</v>
      </c>
      <c r="B27" s="87" t="s">
        <v>146</v>
      </c>
      <c r="C27" s="88">
        <v>10387</v>
      </c>
      <c r="D27" s="88">
        <v>1277</v>
      </c>
      <c r="E27" s="89">
        <v>0.1229</v>
      </c>
      <c r="F27" s="88">
        <v>1331.3648000000001</v>
      </c>
      <c r="G27" s="90">
        <v>0.95916610000000002</v>
      </c>
      <c r="H27" s="89">
        <v>0.1128</v>
      </c>
      <c r="I27" s="88">
        <v>9885</v>
      </c>
      <c r="J27" s="88">
        <v>1156</v>
      </c>
      <c r="K27" s="89">
        <v>0.1169</v>
      </c>
      <c r="L27" s="88">
        <v>1330.6022</v>
      </c>
      <c r="M27" s="90">
        <v>0.86877959999999999</v>
      </c>
      <c r="N27" s="89">
        <v>0.1022</v>
      </c>
      <c r="O27" s="89">
        <v>-9.4E-2</v>
      </c>
      <c r="P27" s="89">
        <v>-9.7500000000000003E-2</v>
      </c>
      <c r="Q27" s="89">
        <v>-0.182335</v>
      </c>
    </row>
    <row r="28" spans="1:17">
      <c r="A28" s="86">
        <v>210028</v>
      </c>
      <c r="B28" s="87" t="s">
        <v>147</v>
      </c>
      <c r="C28" s="88">
        <v>7412</v>
      </c>
      <c r="D28" s="88">
        <v>733</v>
      </c>
      <c r="E28" s="89">
        <v>9.8900000000000002E-2</v>
      </c>
      <c r="F28" s="88">
        <v>798.50149999999996</v>
      </c>
      <c r="G28" s="90">
        <v>0.91796949999999999</v>
      </c>
      <c r="H28" s="89">
        <v>0.108</v>
      </c>
      <c r="I28" s="88">
        <v>6045</v>
      </c>
      <c r="J28" s="88">
        <v>605</v>
      </c>
      <c r="K28" s="89">
        <v>0.10009999999999999</v>
      </c>
      <c r="L28" s="88">
        <v>666.75166999999999</v>
      </c>
      <c r="M28" s="90">
        <v>0.90738430000000003</v>
      </c>
      <c r="N28" s="89">
        <v>0.1067</v>
      </c>
      <c r="O28" s="89">
        <v>-1.2E-2</v>
      </c>
      <c r="P28" s="89">
        <v>-0.16389999999999999</v>
      </c>
      <c r="Q28" s="89">
        <v>-0.173933</v>
      </c>
    </row>
    <row r="29" spans="1:17">
      <c r="A29" s="86">
        <v>210029</v>
      </c>
      <c r="B29" s="87" t="s">
        <v>148</v>
      </c>
      <c r="C29" s="88">
        <v>17459</v>
      </c>
      <c r="D29" s="88">
        <v>2703</v>
      </c>
      <c r="E29" s="89">
        <v>0.15479999999999999</v>
      </c>
      <c r="F29" s="88">
        <v>2215.8555000000001</v>
      </c>
      <c r="G29" s="90">
        <v>1.2198449</v>
      </c>
      <c r="H29" s="89">
        <v>0.14349999999999999</v>
      </c>
      <c r="I29" s="88">
        <v>16963</v>
      </c>
      <c r="J29" s="88">
        <v>2509</v>
      </c>
      <c r="K29" s="89">
        <v>0.1479</v>
      </c>
      <c r="L29" s="88">
        <v>2199.3579</v>
      </c>
      <c r="M29" s="90">
        <v>1.1407875000000001</v>
      </c>
      <c r="N29" s="89">
        <v>0.13420000000000001</v>
      </c>
      <c r="O29" s="89">
        <v>-6.4799999999999996E-2</v>
      </c>
      <c r="P29" s="89">
        <v>-7.2499999999999995E-2</v>
      </c>
      <c r="Q29" s="89">
        <v>-0.132602</v>
      </c>
    </row>
    <row r="30" spans="1:17">
      <c r="A30" s="86">
        <v>210030</v>
      </c>
      <c r="B30" s="87" t="s">
        <v>149</v>
      </c>
      <c r="C30" s="88">
        <v>1438</v>
      </c>
      <c r="D30" s="88">
        <v>221</v>
      </c>
      <c r="E30" s="89">
        <v>0.1537</v>
      </c>
      <c r="F30" s="88">
        <v>185.63549</v>
      </c>
      <c r="G30" s="90">
        <v>1.1905051</v>
      </c>
      <c r="H30" s="89">
        <v>0.14000000000000001</v>
      </c>
      <c r="I30" s="88">
        <v>854</v>
      </c>
      <c r="J30" s="88">
        <v>75</v>
      </c>
      <c r="K30" s="89">
        <v>8.7800000000000003E-2</v>
      </c>
      <c r="L30" s="88">
        <v>126.22811</v>
      </c>
      <c r="M30" s="90">
        <v>0.59416239999999998</v>
      </c>
      <c r="N30" s="89">
        <v>6.9900000000000004E-2</v>
      </c>
      <c r="O30" s="89">
        <v>-0.50070000000000003</v>
      </c>
      <c r="P30" s="89">
        <v>3.7100000000000001E-2</v>
      </c>
      <c r="Q30" s="89">
        <v>-0.48217599999999999</v>
      </c>
    </row>
    <row r="31" spans="1:17">
      <c r="A31" s="86">
        <v>210032</v>
      </c>
      <c r="B31" s="87" t="s">
        <v>25</v>
      </c>
      <c r="C31" s="88">
        <v>5310</v>
      </c>
      <c r="D31" s="88">
        <v>589</v>
      </c>
      <c r="E31" s="89">
        <v>0.1109</v>
      </c>
      <c r="F31" s="88">
        <v>664.46190999999999</v>
      </c>
      <c r="G31" s="90">
        <v>0.88643159999999999</v>
      </c>
      <c r="H31" s="89">
        <v>0.1043</v>
      </c>
      <c r="I31" s="88">
        <v>4705</v>
      </c>
      <c r="J31" s="88">
        <v>529</v>
      </c>
      <c r="K31" s="89">
        <v>0.1124</v>
      </c>
      <c r="L31" s="88">
        <v>604.68140000000005</v>
      </c>
      <c r="M31" s="90">
        <v>0.87484090000000003</v>
      </c>
      <c r="N31" s="89">
        <v>0.10290000000000001</v>
      </c>
      <c r="O31" s="89">
        <v>-1.34E-2</v>
      </c>
      <c r="P31" s="89">
        <v>4.2900000000000001E-2</v>
      </c>
      <c r="Q31" s="89">
        <v>2.8925099999999999E-2</v>
      </c>
    </row>
    <row r="32" spans="1:17">
      <c r="A32" s="86">
        <v>210033</v>
      </c>
      <c r="B32" s="87" t="s">
        <v>150</v>
      </c>
      <c r="C32" s="88">
        <v>9130</v>
      </c>
      <c r="D32" s="88">
        <v>1058</v>
      </c>
      <c r="E32" s="89">
        <v>0.1159</v>
      </c>
      <c r="F32" s="88">
        <v>1103.2249999999999</v>
      </c>
      <c r="G32" s="90">
        <v>0.95900649999999998</v>
      </c>
      <c r="H32" s="89">
        <v>0.1128</v>
      </c>
      <c r="I32" s="88">
        <v>9555</v>
      </c>
      <c r="J32" s="88">
        <v>1139</v>
      </c>
      <c r="K32" s="89">
        <v>0.1192</v>
      </c>
      <c r="L32" s="88">
        <v>1196.4574</v>
      </c>
      <c r="M32" s="90">
        <v>0.95197710000000002</v>
      </c>
      <c r="N32" s="89">
        <v>0.112</v>
      </c>
      <c r="O32" s="89">
        <v>-7.1000000000000004E-3</v>
      </c>
      <c r="P32" s="89">
        <v>-8.6199999999999999E-2</v>
      </c>
      <c r="Q32" s="89">
        <v>-9.2688000000000006E-2</v>
      </c>
    </row>
    <row r="33" spans="1:17">
      <c r="A33" s="86">
        <v>210034</v>
      </c>
      <c r="B33" s="87" t="s">
        <v>151</v>
      </c>
      <c r="C33" s="88">
        <v>6241</v>
      </c>
      <c r="D33" s="88">
        <v>749</v>
      </c>
      <c r="E33" s="89">
        <v>0.12</v>
      </c>
      <c r="F33" s="88">
        <v>725.55781999999999</v>
      </c>
      <c r="G33" s="90">
        <v>1.0323092</v>
      </c>
      <c r="H33" s="89">
        <v>0.12139999999999999</v>
      </c>
      <c r="I33" s="88">
        <v>6799</v>
      </c>
      <c r="J33" s="88">
        <v>967</v>
      </c>
      <c r="K33" s="89">
        <v>0.14219999999999999</v>
      </c>
      <c r="L33" s="88">
        <v>844.28994999999998</v>
      </c>
      <c r="M33" s="90">
        <v>1.1453411</v>
      </c>
      <c r="N33" s="89">
        <v>0.13469999999999999</v>
      </c>
      <c r="O33" s="89">
        <v>0.1096</v>
      </c>
      <c r="P33" s="89">
        <v>-6.7599999999999993E-2</v>
      </c>
      <c r="Q33" s="89">
        <v>3.4590999999999997E-2</v>
      </c>
    </row>
    <row r="34" spans="1:17">
      <c r="A34" s="86">
        <v>210035</v>
      </c>
      <c r="B34" s="87" t="s">
        <v>152</v>
      </c>
      <c r="C34" s="88">
        <v>5941</v>
      </c>
      <c r="D34" s="88">
        <v>621</v>
      </c>
      <c r="E34" s="89">
        <v>0.1045</v>
      </c>
      <c r="F34" s="88">
        <v>745.32123000000001</v>
      </c>
      <c r="G34" s="90">
        <v>0.83319779999999999</v>
      </c>
      <c r="H34" s="89">
        <v>9.8000000000000004E-2</v>
      </c>
      <c r="I34" s="88">
        <v>5834</v>
      </c>
      <c r="J34" s="88">
        <v>642</v>
      </c>
      <c r="K34" s="89">
        <v>0.11</v>
      </c>
      <c r="L34" s="88">
        <v>766.94822999999997</v>
      </c>
      <c r="M34" s="90">
        <v>0.83708389999999999</v>
      </c>
      <c r="N34" s="89">
        <v>9.8500000000000004E-2</v>
      </c>
      <c r="O34" s="89">
        <v>5.1000000000000004E-3</v>
      </c>
      <c r="P34" s="89">
        <v>-0.19</v>
      </c>
      <c r="Q34" s="89">
        <v>-0.18586900000000001</v>
      </c>
    </row>
    <row r="35" spans="1:17">
      <c r="A35" s="86">
        <v>210037</v>
      </c>
      <c r="B35" s="87" t="s">
        <v>153</v>
      </c>
      <c r="C35" s="88">
        <v>6617</v>
      </c>
      <c r="D35" s="88">
        <v>653</v>
      </c>
      <c r="E35" s="89">
        <v>9.8699999999999996E-2</v>
      </c>
      <c r="F35" s="88">
        <v>706.79672000000005</v>
      </c>
      <c r="G35" s="90">
        <v>0.9238866</v>
      </c>
      <c r="H35" s="89">
        <v>0.1087</v>
      </c>
      <c r="I35" s="88">
        <v>5654</v>
      </c>
      <c r="J35" s="88">
        <v>477</v>
      </c>
      <c r="K35" s="89">
        <v>8.4400000000000003E-2</v>
      </c>
      <c r="L35" s="88">
        <v>644.84077000000002</v>
      </c>
      <c r="M35" s="90">
        <v>0.73971750000000003</v>
      </c>
      <c r="N35" s="89">
        <v>8.6999999999999994E-2</v>
      </c>
      <c r="O35" s="89">
        <v>-0.1996</v>
      </c>
      <c r="P35" s="89">
        <v>2.3699999999999999E-2</v>
      </c>
      <c r="Q35" s="89">
        <v>-0.18063100000000001</v>
      </c>
    </row>
    <row r="36" spans="1:17">
      <c r="A36" s="86">
        <v>210038</v>
      </c>
      <c r="B36" s="87" t="s">
        <v>154</v>
      </c>
      <c r="C36" s="88">
        <v>3917</v>
      </c>
      <c r="D36" s="88">
        <v>799</v>
      </c>
      <c r="E36" s="89">
        <v>0.20399999999999999</v>
      </c>
      <c r="F36" s="88">
        <v>623.22068999999999</v>
      </c>
      <c r="G36" s="90">
        <v>1.2820499000000001</v>
      </c>
      <c r="H36" s="89">
        <v>0.15079999999999999</v>
      </c>
      <c r="I36" s="88">
        <v>3850</v>
      </c>
      <c r="J36" s="88">
        <v>759</v>
      </c>
      <c r="K36" s="89">
        <v>0.1971</v>
      </c>
      <c r="L36" s="88">
        <v>629.33168999999998</v>
      </c>
      <c r="M36" s="90">
        <v>1.2060413000000001</v>
      </c>
      <c r="N36" s="89">
        <v>0.1419</v>
      </c>
      <c r="O36" s="89">
        <v>-5.8999999999999997E-2</v>
      </c>
      <c r="P36" s="89">
        <v>-0.112</v>
      </c>
      <c r="Q36" s="89">
        <v>-0.16439200000000001</v>
      </c>
    </row>
    <row r="37" spans="1:17">
      <c r="A37" s="86">
        <v>210039</v>
      </c>
      <c r="B37" s="87" t="s">
        <v>155</v>
      </c>
      <c r="C37" s="88">
        <v>4952</v>
      </c>
      <c r="D37" s="88">
        <v>454</v>
      </c>
      <c r="E37" s="89">
        <v>9.1700000000000004E-2</v>
      </c>
      <c r="F37" s="88">
        <v>598.60297000000003</v>
      </c>
      <c r="G37" s="90">
        <v>0.75843260000000001</v>
      </c>
      <c r="H37" s="89">
        <v>8.9200000000000002E-2</v>
      </c>
      <c r="I37" s="88">
        <v>5148</v>
      </c>
      <c r="J37" s="88">
        <v>553</v>
      </c>
      <c r="K37" s="89">
        <v>0.1074</v>
      </c>
      <c r="L37" s="88">
        <v>666.24590999999998</v>
      </c>
      <c r="M37" s="90">
        <v>0.83002390000000004</v>
      </c>
      <c r="N37" s="89">
        <v>9.7600000000000006E-2</v>
      </c>
      <c r="O37" s="89">
        <v>9.4200000000000006E-2</v>
      </c>
      <c r="P37" s="89">
        <v>-0.1008</v>
      </c>
      <c r="Q37" s="89">
        <v>-1.6095000000000002E-2</v>
      </c>
    </row>
    <row r="38" spans="1:17">
      <c r="A38" s="86">
        <v>210040</v>
      </c>
      <c r="B38" s="87" t="s">
        <v>156</v>
      </c>
      <c r="C38" s="88">
        <v>9983</v>
      </c>
      <c r="D38" s="88">
        <v>1521</v>
      </c>
      <c r="E38" s="89">
        <v>0.15240000000000001</v>
      </c>
      <c r="F38" s="88">
        <v>1429.8735999999999</v>
      </c>
      <c r="G38" s="90">
        <v>1.0637304000000001</v>
      </c>
      <c r="H38" s="89">
        <v>0.12509999999999999</v>
      </c>
      <c r="I38" s="88">
        <v>9194</v>
      </c>
      <c r="J38" s="88">
        <v>1260</v>
      </c>
      <c r="K38" s="89">
        <v>0.13700000000000001</v>
      </c>
      <c r="L38" s="88">
        <v>1389.5084999999999</v>
      </c>
      <c r="M38" s="90">
        <v>0.90679540000000003</v>
      </c>
      <c r="N38" s="89">
        <v>0.1067</v>
      </c>
      <c r="O38" s="89">
        <v>-0.14710000000000001</v>
      </c>
      <c r="P38" s="89">
        <v>-0.1918</v>
      </c>
      <c r="Q38" s="89">
        <v>-0.31068600000000002</v>
      </c>
    </row>
    <row r="39" spans="1:17">
      <c r="A39" s="86">
        <v>210043</v>
      </c>
      <c r="B39" s="87" t="s">
        <v>157</v>
      </c>
      <c r="C39" s="88">
        <v>15425</v>
      </c>
      <c r="D39" s="88">
        <v>2156</v>
      </c>
      <c r="E39" s="89">
        <v>0.13980000000000001</v>
      </c>
      <c r="F39" s="88">
        <v>2038.2307000000001</v>
      </c>
      <c r="G39" s="90">
        <v>1.0577802000000001</v>
      </c>
      <c r="H39" s="89">
        <v>0.1244</v>
      </c>
      <c r="I39" s="88">
        <v>14547</v>
      </c>
      <c r="J39" s="88">
        <v>1926</v>
      </c>
      <c r="K39" s="89">
        <v>0.13239999999999999</v>
      </c>
      <c r="L39" s="88">
        <v>2061.5234</v>
      </c>
      <c r="M39" s="90">
        <v>0.9342606</v>
      </c>
      <c r="N39" s="89">
        <v>0.1099</v>
      </c>
      <c r="O39" s="89">
        <v>-0.1166</v>
      </c>
      <c r="P39" s="89">
        <v>-0.13350000000000001</v>
      </c>
      <c r="Q39" s="89">
        <v>-0.23453399999999999</v>
      </c>
    </row>
    <row r="40" spans="1:17">
      <c r="A40" s="86">
        <v>210044</v>
      </c>
      <c r="B40" s="87" t="s">
        <v>158</v>
      </c>
      <c r="C40" s="88">
        <v>15123</v>
      </c>
      <c r="D40" s="88">
        <v>1224</v>
      </c>
      <c r="E40" s="89">
        <v>8.09E-2</v>
      </c>
      <c r="F40" s="88">
        <v>1357.779</v>
      </c>
      <c r="G40" s="90">
        <v>0.90147219999999995</v>
      </c>
      <c r="H40" s="89">
        <v>0.106</v>
      </c>
      <c r="I40" s="88">
        <v>16420</v>
      </c>
      <c r="J40" s="88">
        <v>1384</v>
      </c>
      <c r="K40" s="89">
        <v>8.43E-2</v>
      </c>
      <c r="L40" s="88">
        <v>1592.0591999999999</v>
      </c>
      <c r="M40" s="90">
        <v>0.86931440000000004</v>
      </c>
      <c r="N40" s="89">
        <v>0.1023</v>
      </c>
      <c r="O40" s="89">
        <v>-3.49E-2</v>
      </c>
      <c r="P40" s="89">
        <v>-6.2600000000000003E-2</v>
      </c>
      <c r="Q40" s="89">
        <v>-9.5314999999999997E-2</v>
      </c>
    </row>
    <row r="41" spans="1:17">
      <c r="A41" s="86">
        <v>210045</v>
      </c>
      <c r="B41" s="87" t="s">
        <v>26</v>
      </c>
      <c r="C41" s="88">
        <v>261</v>
      </c>
      <c r="D41" s="88">
        <v>36</v>
      </c>
      <c r="E41" s="89">
        <v>0.13789999999999999</v>
      </c>
      <c r="F41" s="88">
        <v>32.997594999999997</v>
      </c>
      <c r="G41" s="90">
        <v>1.0909886</v>
      </c>
      <c r="H41" s="89">
        <v>0.1283</v>
      </c>
      <c r="I41" s="88">
        <v>194</v>
      </c>
      <c r="J41" s="88">
        <v>22</v>
      </c>
      <c r="K41" s="89">
        <v>0.1134</v>
      </c>
      <c r="L41" s="88">
        <v>23.073885000000001</v>
      </c>
      <c r="M41" s="90">
        <v>0.9534589</v>
      </c>
      <c r="N41" s="89">
        <v>0.11219999999999999</v>
      </c>
      <c r="O41" s="89">
        <v>-0.1255</v>
      </c>
      <c r="P41" s="89">
        <v>7.0400000000000004E-2</v>
      </c>
      <c r="Q41" s="89">
        <v>-6.3935000000000006E-2</v>
      </c>
    </row>
    <row r="42" spans="1:17">
      <c r="A42" s="86">
        <v>210048</v>
      </c>
      <c r="B42" s="87" t="s">
        <v>159</v>
      </c>
      <c r="C42" s="88">
        <v>16001</v>
      </c>
      <c r="D42" s="88">
        <v>1661</v>
      </c>
      <c r="E42" s="89">
        <v>0.1038</v>
      </c>
      <c r="F42" s="88">
        <v>1708.4462000000001</v>
      </c>
      <c r="G42" s="90">
        <v>0.97222839999999999</v>
      </c>
      <c r="H42" s="89">
        <v>0.1144</v>
      </c>
      <c r="I42" s="88">
        <v>13281</v>
      </c>
      <c r="J42" s="88">
        <v>1369</v>
      </c>
      <c r="K42" s="89">
        <v>0.1031</v>
      </c>
      <c r="L42" s="88">
        <v>1506.7393</v>
      </c>
      <c r="M42" s="90">
        <v>0.90858450000000002</v>
      </c>
      <c r="N42" s="89">
        <v>0.1069</v>
      </c>
      <c r="O42" s="89">
        <v>-6.5600000000000006E-2</v>
      </c>
      <c r="P42" s="89">
        <v>-4.9200000000000001E-2</v>
      </c>
      <c r="Q42" s="89">
        <v>-0.111572</v>
      </c>
    </row>
    <row r="43" spans="1:17">
      <c r="A43" s="86">
        <v>210049</v>
      </c>
      <c r="B43" s="87" t="s">
        <v>160</v>
      </c>
      <c r="C43" s="88">
        <v>10626</v>
      </c>
      <c r="D43" s="88">
        <v>1176</v>
      </c>
      <c r="E43" s="89">
        <v>0.11070000000000001</v>
      </c>
      <c r="F43" s="88">
        <v>1252.3344</v>
      </c>
      <c r="G43" s="90">
        <v>0.9390463</v>
      </c>
      <c r="H43" s="89">
        <v>0.1105</v>
      </c>
      <c r="I43" s="88">
        <v>9603</v>
      </c>
      <c r="J43" s="88">
        <v>1109</v>
      </c>
      <c r="K43" s="89">
        <v>0.11550000000000001</v>
      </c>
      <c r="L43" s="88">
        <v>1206.9378999999999</v>
      </c>
      <c r="M43" s="90">
        <v>0.91885419999999995</v>
      </c>
      <c r="N43" s="89">
        <v>0.1081</v>
      </c>
      <c r="O43" s="89">
        <v>-2.1700000000000001E-2</v>
      </c>
      <c r="P43" s="89">
        <v>-5.8700000000000002E-2</v>
      </c>
      <c r="Q43" s="89">
        <v>-7.9126000000000002E-2</v>
      </c>
    </row>
    <row r="44" spans="1:17">
      <c r="A44" s="86">
        <v>210051</v>
      </c>
      <c r="B44" s="87" t="s">
        <v>161</v>
      </c>
      <c r="C44" s="88">
        <v>9258</v>
      </c>
      <c r="D44" s="88">
        <v>1335</v>
      </c>
      <c r="E44" s="89">
        <v>0.14419999999999999</v>
      </c>
      <c r="F44" s="88">
        <v>1347.9093</v>
      </c>
      <c r="G44" s="90">
        <v>0.99042269999999999</v>
      </c>
      <c r="H44" s="89">
        <v>0.11650000000000001</v>
      </c>
      <c r="I44" s="88">
        <v>9111</v>
      </c>
      <c r="J44" s="88">
        <v>1103</v>
      </c>
      <c r="K44" s="89">
        <v>0.1211</v>
      </c>
      <c r="L44" s="88">
        <v>1346.4204999999999</v>
      </c>
      <c r="M44" s="90">
        <v>0.81920919999999997</v>
      </c>
      <c r="N44" s="89">
        <v>9.64E-2</v>
      </c>
      <c r="O44" s="89">
        <v>-0.17249999999999999</v>
      </c>
      <c r="P44" s="89">
        <v>-0.1041</v>
      </c>
      <c r="Q44" s="89">
        <v>-0.25864300000000001</v>
      </c>
    </row>
    <row r="45" spans="1:17">
      <c r="A45" s="86">
        <v>210055</v>
      </c>
      <c r="B45" s="87" t="s">
        <v>162</v>
      </c>
      <c r="C45" s="88">
        <v>3235</v>
      </c>
      <c r="D45" s="88">
        <v>501</v>
      </c>
      <c r="E45" s="89">
        <v>0.15490000000000001</v>
      </c>
      <c r="F45" s="88">
        <v>482.31999000000002</v>
      </c>
      <c r="G45" s="90">
        <v>1.0387295000000001</v>
      </c>
      <c r="H45" s="89">
        <v>0.1222</v>
      </c>
      <c r="I45" s="88">
        <v>2998</v>
      </c>
      <c r="J45" s="88">
        <v>426</v>
      </c>
      <c r="K45" s="89">
        <v>0.1421</v>
      </c>
      <c r="L45" s="88">
        <v>433.61308000000002</v>
      </c>
      <c r="M45" s="90">
        <v>0.9824427</v>
      </c>
      <c r="N45" s="89">
        <v>0.11559999999999999</v>
      </c>
      <c r="O45" s="89">
        <v>-5.3999999999999999E-2</v>
      </c>
      <c r="P45" s="89">
        <v>-0.16489999999999999</v>
      </c>
      <c r="Q45" s="89">
        <v>-0.20999499999999999</v>
      </c>
    </row>
    <row r="46" spans="1:17">
      <c r="A46" s="86">
        <v>210056</v>
      </c>
      <c r="B46" s="87" t="s">
        <v>163</v>
      </c>
      <c r="C46" s="88">
        <v>7425</v>
      </c>
      <c r="D46" s="88">
        <v>1149</v>
      </c>
      <c r="E46" s="89">
        <v>0.1547</v>
      </c>
      <c r="F46" s="88">
        <v>1123.9559999999999</v>
      </c>
      <c r="G46" s="90">
        <v>1.0222819999999999</v>
      </c>
      <c r="H46" s="89">
        <v>0.1203</v>
      </c>
      <c r="I46" s="88">
        <v>6591</v>
      </c>
      <c r="J46" s="88">
        <v>1191</v>
      </c>
      <c r="K46" s="89">
        <v>0.1807</v>
      </c>
      <c r="L46" s="88">
        <v>1062.6990000000001</v>
      </c>
      <c r="M46" s="90">
        <v>1.1207313000000001</v>
      </c>
      <c r="N46" s="89">
        <v>0.1318</v>
      </c>
      <c r="O46" s="89">
        <v>9.5600000000000004E-2</v>
      </c>
      <c r="P46" s="89">
        <v>-0.18049999999999999</v>
      </c>
      <c r="Q46" s="89">
        <v>-0.102156</v>
      </c>
    </row>
    <row r="47" spans="1:17">
      <c r="A47" s="86">
        <v>210057</v>
      </c>
      <c r="B47" s="87" t="s">
        <v>164</v>
      </c>
      <c r="C47" s="88">
        <v>16041</v>
      </c>
      <c r="D47" s="88">
        <v>1256</v>
      </c>
      <c r="E47" s="89">
        <v>7.8299999999999995E-2</v>
      </c>
      <c r="F47" s="88">
        <v>1476.9467</v>
      </c>
      <c r="G47" s="90">
        <v>0.85040300000000002</v>
      </c>
      <c r="H47" s="89">
        <v>0.1</v>
      </c>
      <c r="I47" s="88">
        <v>14836</v>
      </c>
      <c r="J47" s="88">
        <v>1148</v>
      </c>
      <c r="K47" s="89">
        <v>7.7399999999999997E-2</v>
      </c>
      <c r="L47" s="88">
        <v>1397.0816</v>
      </c>
      <c r="M47" s="90">
        <v>0.82171289999999997</v>
      </c>
      <c r="N47" s="89">
        <v>9.6699999999999994E-2</v>
      </c>
      <c r="O47" s="89">
        <v>-3.3000000000000002E-2</v>
      </c>
      <c r="P47" s="89">
        <v>-9.7299999999999998E-2</v>
      </c>
      <c r="Q47" s="89">
        <v>-0.12708900000000001</v>
      </c>
    </row>
    <row r="48" spans="1:17">
      <c r="A48" s="86">
        <v>210058</v>
      </c>
      <c r="B48" s="87" t="s">
        <v>165</v>
      </c>
      <c r="C48" s="88">
        <v>583</v>
      </c>
      <c r="D48" s="88">
        <v>38</v>
      </c>
      <c r="E48" s="89">
        <v>6.5199999999999994E-2</v>
      </c>
      <c r="F48" s="88">
        <v>45.981197999999999</v>
      </c>
      <c r="G48" s="90">
        <v>0.82642479999999996</v>
      </c>
      <c r="H48" s="89">
        <v>9.7199999999999995E-2</v>
      </c>
      <c r="I48" s="88">
        <v>480</v>
      </c>
      <c r="J48" s="88">
        <v>24</v>
      </c>
      <c r="K48" s="89">
        <v>0.05</v>
      </c>
      <c r="L48" s="88">
        <v>37.028551999999998</v>
      </c>
      <c r="M48" s="90">
        <v>0.64814850000000002</v>
      </c>
      <c r="N48" s="89">
        <v>7.6200000000000004E-2</v>
      </c>
      <c r="O48" s="89">
        <v>-0.216</v>
      </c>
      <c r="P48" s="89">
        <v>-0.1065</v>
      </c>
      <c r="Q48" s="89">
        <v>-0.29949599999999998</v>
      </c>
    </row>
    <row r="49" spans="1:17">
      <c r="A49" s="86">
        <v>210060</v>
      </c>
      <c r="B49" s="87" t="s">
        <v>166</v>
      </c>
      <c r="C49" s="88">
        <v>2142</v>
      </c>
      <c r="D49" s="88">
        <v>247</v>
      </c>
      <c r="E49" s="89">
        <v>0.1153</v>
      </c>
      <c r="F49" s="88">
        <v>306.56644</v>
      </c>
      <c r="G49" s="90">
        <v>0.80569809999999997</v>
      </c>
      <c r="H49" s="89">
        <v>9.4799999999999995E-2</v>
      </c>
      <c r="I49" s="88">
        <v>1975</v>
      </c>
      <c r="J49" s="88">
        <v>205</v>
      </c>
      <c r="K49" s="89">
        <v>0.1038</v>
      </c>
      <c r="L49" s="88">
        <v>294.84647999999999</v>
      </c>
      <c r="M49" s="90">
        <v>0.69527709999999998</v>
      </c>
      <c r="N49" s="89">
        <v>8.1799999999999998E-2</v>
      </c>
      <c r="O49" s="89">
        <v>-0.1371</v>
      </c>
      <c r="P49" s="89">
        <v>-0.27410000000000001</v>
      </c>
      <c r="Q49" s="89">
        <v>-0.37362099999999998</v>
      </c>
    </row>
    <row r="50" spans="1:17">
      <c r="A50" s="86">
        <v>210061</v>
      </c>
      <c r="B50" s="87" t="s">
        <v>27</v>
      </c>
      <c r="C50" s="88">
        <v>3161</v>
      </c>
      <c r="D50" s="88">
        <v>317</v>
      </c>
      <c r="E50" s="89">
        <v>0.1003</v>
      </c>
      <c r="F50" s="88">
        <v>417.43198000000001</v>
      </c>
      <c r="G50" s="90">
        <v>0.7594052</v>
      </c>
      <c r="H50" s="89">
        <v>8.9300000000000004E-2</v>
      </c>
      <c r="I50" s="88">
        <v>2961</v>
      </c>
      <c r="J50" s="88">
        <v>325</v>
      </c>
      <c r="K50" s="89">
        <v>0.10979999999999999</v>
      </c>
      <c r="L50" s="88">
        <v>403.30653999999998</v>
      </c>
      <c r="M50" s="90">
        <v>0.80583859999999996</v>
      </c>
      <c r="N50" s="89">
        <v>9.4799999999999995E-2</v>
      </c>
      <c r="O50" s="89">
        <v>6.1600000000000002E-2</v>
      </c>
      <c r="P50" s="89">
        <v>-0.25019999999999998</v>
      </c>
      <c r="Q50" s="89">
        <v>-0.204012</v>
      </c>
    </row>
    <row r="51" spans="1:17">
      <c r="A51" s="86">
        <v>210062</v>
      </c>
      <c r="B51" s="87" t="s">
        <v>167</v>
      </c>
      <c r="C51" s="88">
        <v>9777</v>
      </c>
      <c r="D51" s="88">
        <v>1195</v>
      </c>
      <c r="E51" s="89">
        <v>0.1222</v>
      </c>
      <c r="F51" s="88">
        <v>1249.3431</v>
      </c>
      <c r="G51" s="90">
        <v>0.95650270000000004</v>
      </c>
      <c r="H51" s="89">
        <v>0.1125</v>
      </c>
      <c r="I51" s="88">
        <v>9189</v>
      </c>
      <c r="J51" s="88">
        <v>973</v>
      </c>
      <c r="K51" s="89">
        <v>0.10589999999999999</v>
      </c>
      <c r="L51" s="88">
        <v>1211.0658000000001</v>
      </c>
      <c r="M51" s="90">
        <v>0.80342449999999999</v>
      </c>
      <c r="N51" s="89">
        <v>9.4500000000000001E-2</v>
      </c>
      <c r="O51" s="89">
        <v>-0.16</v>
      </c>
      <c r="P51" s="89">
        <v>-7.6300000000000007E-2</v>
      </c>
      <c r="Q51" s="89">
        <v>-0.22409200000000001</v>
      </c>
    </row>
    <row r="52" spans="1:17">
      <c r="A52" s="86">
        <v>210063</v>
      </c>
      <c r="B52" s="87" t="s">
        <v>168</v>
      </c>
      <c r="C52" s="88">
        <v>14433</v>
      </c>
      <c r="D52" s="88">
        <v>1320</v>
      </c>
      <c r="E52" s="89">
        <v>9.1499999999999998E-2</v>
      </c>
      <c r="F52" s="88">
        <v>1438.5156999999999</v>
      </c>
      <c r="G52" s="90">
        <v>0.91761250000000005</v>
      </c>
      <c r="H52" s="89">
        <v>0.1079</v>
      </c>
      <c r="I52" s="88">
        <v>13635</v>
      </c>
      <c r="J52" s="88">
        <v>1303</v>
      </c>
      <c r="K52" s="89">
        <v>9.5600000000000004E-2</v>
      </c>
      <c r="L52" s="88">
        <v>1461.6420000000001</v>
      </c>
      <c r="M52" s="90">
        <v>0.89146320000000001</v>
      </c>
      <c r="N52" s="89">
        <v>0.10489999999999999</v>
      </c>
      <c r="O52" s="89">
        <v>-2.7799999999999998E-2</v>
      </c>
      <c r="P52" s="89">
        <v>-0.10290000000000001</v>
      </c>
      <c r="Q52" s="89">
        <v>-0.12783900000000001</v>
      </c>
    </row>
    <row r="53" spans="1:17">
      <c r="A53" s="86">
        <v>210064</v>
      </c>
      <c r="B53" s="87" t="s">
        <v>28</v>
      </c>
      <c r="C53" s="88">
        <v>1123</v>
      </c>
      <c r="D53" s="88">
        <v>145</v>
      </c>
      <c r="E53" s="89">
        <v>0.12909999999999999</v>
      </c>
      <c r="F53" s="88">
        <v>161.03226000000001</v>
      </c>
      <c r="G53" s="90">
        <v>0.90044069999999998</v>
      </c>
      <c r="H53" s="89">
        <v>0.10589999999999999</v>
      </c>
      <c r="I53" s="88">
        <v>1012</v>
      </c>
      <c r="J53" s="88">
        <v>137</v>
      </c>
      <c r="K53" s="89">
        <v>0.13539999999999999</v>
      </c>
      <c r="L53" s="88">
        <v>144.03528</v>
      </c>
      <c r="M53" s="90">
        <v>0.95115590000000005</v>
      </c>
      <c r="N53" s="89">
        <v>0.1119</v>
      </c>
      <c r="O53" s="89">
        <v>5.67E-2</v>
      </c>
      <c r="P53" s="89">
        <v>-0.28839999999999999</v>
      </c>
      <c r="Q53" s="89">
        <v>-0.24805199999999999</v>
      </c>
    </row>
    <row r="54" spans="1:17">
      <c r="A54" s="86">
        <v>210065</v>
      </c>
      <c r="B54" s="87" t="s">
        <v>169</v>
      </c>
      <c r="C54" s="88">
        <v>4364</v>
      </c>
      <c r="D54" s="88">
        <v>462</v>
      </c>
      <c r="E54" s="89">
        <v>0.10589999999999999</v>
      </c>
      <c r="F54" s="88">
        <v>506.73451</v>
      </c>
      <c r="G54" s="90">
        <v>0.91171999999999997</v>
      </c>
      <c r="H54" s="89">
        <v>0.1072</v>
      </c>
      <c r="I54" s="88">
        <v>4476</v>
      </c>
      <c r="J54" s="88">
        <v>490</v>
      </c>
      <c r="K54" s="89">
        <v>0.1095</v>
      </c>
      <c r="L54" s="88">
        <v>514.34609999999998</v>
      </c>
      <c r="M54" s="90">
        <v>0.95266589999999995</v>
      </c>
      <c r="N54" s="89">
        <v>0.11210000000000001</v>
      </c>
      <c r="O54" s="89">
        <v>4.5699999999999998E-2</v>
      </c>
      <c r="P54" s="89" t="s">
        <v>29</v>
      </c>
      <c r="Q54" s="89" t="s">
        <v>29</v>
      </c>
    </row>
    <row r="55" spans="1:17">
      <c r="A55" s="91" t="s">
        <v>29</v>
      </c>
      <c r="B55" s="92" t="s">
        <v>30</v>
      </c>
      <c r="C55" s="93">
        <v>496826</v>
      </c>
      <c r="D55" s="93">
        <v>58448</v>
      </c>
      <c r="E55" s="94">
        <v>0.1176</v>
      </c>
      <c r="F55" s="93">
        <v>58443.506000000001</v>
      </c>
      <c r="G55" s="95">
        <v>1.0000769</v>
      </c>
      <c r="H55" s="94">
        <v>0.1176</v>
      </c>
      <c r="I55" s="93">
        <v>475109</v>
      </c>
      <c r="J55" s="93">
        <v>55621</v>
      </c>
      <c r="K55" s="94">
        <v>0.1171</v>
      </c>
      <c r="L55" s="93">
        <v>58327.262999999999</v>
      </c>
      <c r="M55" s="95">
        <v>0.95360210000000001</v>
      </c>
      <c r="N55" s="94">
        <v>0.11219999999999999</v>
      </c>
      <c r="O55" s="94">
        <v>-4.5900000000000003E-2</v>
      </c>
      <c r="P55" s="94">
        <v>-0.1075</v>
      </c>
      <c r="Q55" s="94">
        <v>-0.14846599999999999</v>
      </c>
    </row>
    <row r="56" spans="1:17">
      <c r="A56" s="77" t="s">
        <v>31</v>
      </c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/>
      <c r="P56" s="5"/>
    </row>
    <row r="57" spans="1:17">
      <c r="A57" s="77" t="s">
        <v>32</v>
      </c>
      <c r="B57" s="2"/>
    </row>
    <row r="58" spans="1:17">
      <c r="A58" s="77" t="s">
        <v>33</v>
      </c>
      <c r="B58" s="2"/>
    </row>
    <row r="59" spans="1:17">
      <c r="A59" s="77" t="s">
        <v>34</v>
      </c>
      <c r="B59" s="2"/>
    </row>
    <row r="60" spans="1:17">
      <c r="A60" s="77" t="s">
        <v>186</v>
      </c>
      <c r="B60" s="2"/>
    </row>
    <row r="61" spans="1:17">
      <c r="A61" s="77" t="s">
        <v>187</v>
      </c>
      <c r="B61" s="2"/>
    </row>
    <row r="62" spans="1:17">
      <c r="A62" s="77" t="s">
        <v>188</v>
      </c>
    </row>
    <row r="63" spans="1:17">
      <c r="A63" s="77" t="s">
        <v>35</v>
      </c>
    </row>
    <row r="64" spans="1:17">
      <c r="A64" s="77" t="s">
        <v>36</v>
      </c>
    </row>
    <row r="65" spans="1:17">
      <c r="A65" s="77"/>
    </row>
    <row r="66" spans="1:17">
      <c r="A66" s="77"/>
    </row>
    <row r="67" spans="1:17">
      <c r="A67" s="77"/>
    </row>
    <row r="68" spans="1:17">
      <c r="A68" s="77"/>
    </row>
    <row r="69" spans="1:17">
      <c r="A69" s="109" t="s">
        <v>201</v>
      </c>
      <c r="B69" s="109" t="s">
        <v>202</v>
      </c>
      <c r="C69" s="107">
        <f>C45+C9</f>
        <v>13934</v>
      </c>
      <c r="D69" s="107">
        <f>D45+D9</f>
        <v>1706</v>
      </c>
      <c r="E69" s="108">
        <f>D69/C69</f>
        <v>0.12243433328548874</v>
      </c>
      <c r="F69" s="107">
        <f>F45+F9</f>
        <v>1775.2196899999999</v>
      </c>
      <c r="G69" s="109">
        <f>D69/F69</f>
        <v>0.96100781757327181</v>
      </c>
      <c r="H69" s="108">
        <f>G69*11.76%</f>
        <v>0.11301451934661676</v>
      </c>
      <c r="I69" s="107">
        <f>I45+I9</f>
        <v>13943</v>
      </c>
      <c r="J69" s="107">
        <f>J45+J9</f>
        <v>1750</v>
      </c>
      <c r="K69" s="108">
        <f>J69/I69</f>
        <v>0.12551100910851323</v>
      </c>
      <c r="L69" s="107">
        <f>L45+L9</f>
        <v>1866.54818</v>
      </c>
      <c r="M69" s="109">
        <f>J69/L69</f>
        <v>0.93755951158999817</v>
      </c>
      <c r="N69" s="108">
        <f>M69*11.76%</f>
        <v>0.11025699856298378</v>
      </c>
      <c r="O69" s="110">
        <f>N69/H69-1</f>
        <v>-2.4399703680335394E-2</v>
      </c>
      <c r="P69" s="110">
        <v>-7.1191891082438175E-2</v>
      </c>
      <c r="Q69" s="110">
        <f>(1+O69)*(1+P69)-1</f>
        <v>-9.3854533715919342E-2</v>
      </c>
    </row>
  </sheetData>
  <autoFilter ref="A6:Q64"/>
  <mergeCells count="5">
    <mergeCell ref="C4:H4"/>
    <mergeCell ref="I4:Q4"/>
    <mergeCell ref="A4:B4"/>
    <mergeCell ref="A1:H1"/>
    <mergeCell ref="A2:H2"/>
  </mergeCells>
  <printOptions horizontalCentered="1"/>
  <pageMargins left="0.25" right="0.25" top="0.75" bottom="0.75" header="0.3" footer="0.3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3"/>
  <sheetViews>
    <sheetView workbookViewId="0">
      <pane xSplit="2" ySplit="3" topLeftCell="C34" activePane="bottomRight" state="frozen"/>
      <selection activeCell="H33" sqref="H33"/>
      <selection pane="topRight" activeCell="H33" sqref="H33"/>
      <selection pane="bottomLeft" activeCell="H33" sqref="H33"/>
      <selection pane="bottomRight" activeCell="A54" sqref="A54"/>
    </sheetView>
  </sheetViews>
  <sheetFormatPr defaultColWidth="8.85546875" defaultRowHeight="15"/>
  <cols>
    <col min="1" max="1" width="8.85546875" style="6"/>
    <col min="2" max="2" width="44" style="6" customWidth="1"/>
    <col min="3" max="6" width="16.42578125" style="6" customWidth="1"/>
    <col min="7" max="7" width="17" style="6" customWidth="1"/>
    <col min="8" max="8" width="65.28515625" style="6" customWidth="1"/>
    <col min="9" max="16384" width="8.85546875" style="6"/>
  </cols>
  <sheetData>
    <row r="1" spans="1:8" ht="21">
      <c r="A1" s="83" t="s">
        <v>37</v>
      </c>
      <c r="B1" s="75"/>
      <c r="C1" s="75"/>
      <c r="D1" s="75"/>
      <c r="E1" s="75"/>
      <c r="F1" s="75"/>
      <c r="G1" s="75"/>
    </row>
    <row r="2" spans="1:8" ht="15.75">
      <c r="A2" s="82" t="s">
        <v>181</v>
      </c>
      <c r="B2" s="75"/>
      <c r="C2" s="75"/>
      <c r="D2" s="75"/>
      <c r="E2" s="75"/>
      <c r="F2" s="75"/>
      <c r="G2" s="75"/>
      <c r="H2"/>
    </row>
    <row r="3" spans="1:8" ht="60">
      <c r="A3" s="81" t="s">
        <v>14</v>
      </c>
      <c r="B3" s="81" t="s">
        <v>38</v>
      </c>
      <c r="C3" s="81" t="s">
        <v>180</v>
      </c>
      <c r="D3" s="80" t="s">
        <v>39</v>
      </c>
      <c r="E3" s="79" t="s">
        <v>40</v>
      </c>
      <c r="F3" s="80" t="s">
        <v>20</v>
      </c>
      <c r="G3" s="79" t="s">
        <v>125</v>
      </c>
      <c r="H3" s="7" t="s">
        <v>41</v>
      </c>
    </row>
    <row r="4" spans="1:8" ht="15" customHeight="1">
      <c r="A4" s="96">
        <v>210001</v>
      </c>
      <c r="B4" s="97" t="s">
        <v>77</v>
      </c>
      <c r="C4" s="98">
        <v>0.1812</v>
      </c>
      <c r="D4" s="98">
        <v>0.1734</v>
      </c>
      <c r="E4" s="99">
        <v>1.0447316103379722</v>
      </c>
      <c r="F4" s="100">
        <f>VLOOKUP($A4,'[4]4.CY2018 Improve All Payers'!$A$7:$Q$55,14,FALSE)</f>
        <v>0.1079</v>
      </c>
      <c r="G4" s="101">
        <f>F4*E4</f>
        <v>0.1127265407554672</v>
      </c>
      <c r="H4" s="121" t="s">
        <v>175</v>
      </c>
    </row>
    <row r="5" spans="1:8">
      <c r="A5" s="96">
        <v>210002</v>
      </c>
      <c r="B5" s="97" t="s">
        <v>78</v>
      </c>
      <c r="C5" s="98">
        <v>0.19009999999999999</v>
      </c>
      <c r="D5" s="98">
        <v>0.1832</v>
      </c>
      <c r="E5" s="99">
        <v>1.0343539955190442</v>
      </c>
      <c r="F5" s="100">
        <f>VLOOKUP($A5,'[4]4.CY2018 Improve All Payers'!$A$7:$Q$55,14,FALSE)</f>
        <v>0.127</v>
      </c>
      <c r="G5" s="101">
        <f t="shared" ref="G5:G51" si="0">F5*E5</f>
        <v>0.13136295743091861</v>
      </c>
      <c r="H5" s="122"/>
    </row>
    <row r="6" spans="1:8">
      <c r="A6" s="96">
        <v>210003</v>
      </c>
      <c r="B6" s="97" t="s">
        <v>79</v>
      </c>
      <c r="C6" s="98">
        <v>0.1923</v>
      </c>
      <c r="D6" s="98">
        <v>0.15060000000000001</v>
      </c>
      <c r="E6" s="99">
        <v>1.2046413502109705</v>
      </c>
      <c r="F6" s="100">
        <f>VLOOKUP($A6,'[5]4.CY2018 Improve All Payers'!$A$7:$Q$55,14,FALSE)</f>
        <v>0.1087</v>
      </c>
      <c r="G6" s="101">
        <f t="shared" si="0"/>
        <v>0.13094451476793251</v>
      </c>
      <c r="H6" s="122"/>
    </row>
    <row r="7" spans="1:8">
      <c r="A7" s="96">
        <v>210004</v>
      </c>
      <c r="B7" s="97" t="s">
        <v>80</v>
      </c>
      <c r="C7" s="98">
        <v>0.16039999999999999</v>
      </c>
      <c r="D7" s="98">
        <v>0.14680000000000001</v>
      </c>
      <c r="E7" s="99">
        <v>1.0923317683881064</v>
      </c>
      <c r="F7" s="100">
        <f>VLOOKUP($A7,'[4]4.CY2018 Improve All Payers'!$A$7:$Q$55,14,FALSE)</f>
        <v>0.11210000000000001</v>
      </c>
      <c r="G7" s="101">
        <f t="shared" si="0"/>
        <v>0.12245039123630673</v>
      </c>
      <c r="H7" s="122"/>
    </row>
    <row r="8" spans="1:8">
      <c r="A8" s="96">
        <v>210005</v>
      </c>
      <c r="B8" s="97" t="s">
        <v>81</v>
      </c>
      <c r="C8" s="98">
        <v>0.1381</v>
      </c>
      <c r="D8" s="98">
        <v>0.13350000000000001</v>
      </c>
      <c r="E8" s="99">
        <v>1.0360144057623049</v>
      </c>
      <c r="F8" s="100">
        <f>VLOOKUP($A8,'[4]4.CY2018 Improve All Payers'!$A$7:$Q$55,14,FALSE)</f>
        <v>9.7600000000000006E-2</v>
      </c>
      <c r="G8" s="101">
        <f t="shared" si="0"/>
        <v>0.10111500600240096</v>
      </c>
      <c r="H8" s="122"/>
    </row>
    <row r="9" spans="1:8">
      <c r="A9" s="96">
        <v>210006</v>
      </c>
      <c r="B9" s="97" t="s">
        <v>82</v>
      </c>
      <c r="C9" s="98">
        <v>0.15279999999999999</v>
      </c>
      <c r="D9" s="98">
        <v>0.14660000000000001</v>
      </c>
      <c r="E9" s="99">
        <v>1.0204918032786885</v>
      </c>
      <c r="F9" s="100">
        <f>VLOOKUP($A9,'[4]4.CY2018 Improve All Payers'!$A$7:$Q$55,14,FALSE)</f>
        <v>0.1055</v>
      </c>
      <c r="G9" s="101">
        <f t="shared" si="0"/>
        <v>0.10766188524590163</v>
      </c>
      <c r="H9" s="122"/>
    </row>
    <row r="10" spans="1:8">
      <c r="A10" s="96">
        <v>210008</v>
      </c>
      <c r="B10" s="97" t="s">
        <v>83</v>
      </c>
      <c r="C10" s="98">
        <v>0.1172</v>
      </c>
      <c r="D10" s="98">
        <v>0.1162</v>
      </c>
      <c r="E10" s="99">
        <v>1.0159453302961277</v>
      </c>
      <c r="F10" s="100">
        <f>VLOOKUP($A10,'[4]4.CY2018 Improve All Payers'!$A$7:$Q$55,14,FALSE)</f>
        <v>0.12</v>
      </c>
      <c r="G10" s="101">
        <f t="shared" si="0"/>
        <v>0.12191343963553532</v>
      </c>
      <c r="H10" s="122"/>
    </row>
    <row r="11" spans="1:8">
      <c r="A11" s="96">
        <v>210009</v>
      </c>
      <c r="B11" s="97" t="s">
        <v>84</v>
      </c>
      <c r="C11" s="98">
        <v>0.18890000000000001</v>
      </c>
      <c r="D11" s="98">
        <v>0.17430000000000001</v>
      </c>
      <c r="E11" s="99">
        <v>1.0772420943494039</v>
      </c>
      <c r="F11" s="100">
        <f>VLOOKUP($A11,'[4]4.CY2018 Improve All Payers'!$A$7:$Q$55,14,FALSE)</f>
        <v>0.12659999999999999</v>
      </c>
      <c r="G11" s="101">
        <f t="shared" si="0"/>
        <v>0.13637884914463452</v>
      </c>
      <c r="H11" s="122"/>
    </row>
    <row r="12" spans="1:8">
      <c r="A12" s="96">
        <v>210010</v>
      </c>
      <c r="B12" s="97" t="s">
        <v>85</v>
      </c>
      <c r="C12" s="98"/>
      <c r="D12" s="98"/>
      <c r="E12" s="99">
        <v>1.0509977827050998</v>
      </c>
      <c r="F12" s="100">
        <f>VLOOKUP($A12,'[4]4.CY2018 Improve All Payers'!$A$7:$Q$55,14,FALSE)</f>
        <v>9.5899999999999999E-2</v>
      </c>
      <c r="G12" s="101">
        <f t="shared" si="0"/>
        <v>0.10079068736141907</v>
      </c>
      <c r="H12" s="122"/>
    </row>
    <row r="13" spans="1:8">
      <c r="A13" s="96">
        <v>210011</v>
      </c>
      <c r="B13" s="97" t="s">
        <v>86</v>
      </c>
      <c r="C13" s="98">
        <v>0.1489</v>
      </c>
      <c r="D13" s="98">
        <v>0.1469</v>
      </c>
      <c r="E13" s="99">
        <v>1.005730659025788</v>
      </c>
      <c r="F13" s="100">
        <f>VLOOKUP($A13,'[4]4.CY2018 Improve All Payers'!$A$7:$Q$55,14,FALSE)</f>
        <v>0.1183</v>
      </c>
      <c r="G13" s="101">
        <f t="shared" si="0"/>
        <v>0.11897793696275072</v>
      </c>
      <c r="H13" s="122"/>
    </row>
    <row r="14" spans="1:8">
      <c r="A14" s="96">
        <v>210012</v>
      </c>
      <c r="B14" s="97" t="s">
        <v>87</v>
      </c>
      <c r="C14" s="98">
        <v>0.1293</v>
      </c>
      <c r="D14" s="98">
        <v>0.1273</v>
      </c>
      <c r="E14" s="99">
        <v>1.0168067226890756</v>
      </c>
      <c r="F14" s="100">
        <f>VLOOKUP($A14,'[4]4.CY2018 Improve All Payers'!$A$7:$Q$55,14,FALSE)</f>
        <v>0.1106</v>
      </c>
      <c r="G14" s="101">
        <f t="shared" si="0"/>
        <v>0.11245882352941176</v>
      </c>
      <c r="H14" s="122"/>
    </row>
    <row r="15" spans="1:8">
      <c r="A15" s="96">
        <v>210013</v>
      </c>
      <c r="B15" s="97" t="s">
        <v>88</v>
      </c>
      <c r="C15" s="98">
        <v>0.20949999999999999</v>
      </c>
      <c r="D15" s="98">
        <v>0.20599999999999999</v>
      </c>
      <c r="E15" s="99">
        <v>1.010204081632653</v>
      </c>
      <c r="F15" s="100">
        <f>VLOOKUP($A15,'[4]4.CY2018 Improve All Payers'!$A$7:$Q$55,14,FALSE)</f>
        <v>0.15140000000000001</v>
      </c>
      <c r="G15" s="101">
        <f t="shared" si="0"/>
        <v>0.15294489795918367</v>
      </c>
      <c r="H15" s="122"/>
    </row>
    <row r="16" spans="1:8">
      <c r="A16" s="96">
        <v>210015</v>
      </c>
      <c r="B16" s="97" t="s">
        <v>89</v>
      </c>
      <c r="C16" s="98">
        <v>0.1825</v>
      </c>
      <c r="D16" s="98">
        <v>0.18160000000000001</v>
      </c>
      <c r="E16" s="99">
        <v>1.0062160062160062</v>
      </c>
      <c r="F16" s="100">
        <f>VLOOKUP($A16,'[4]4.CY2018 Improve All Payers'!$A$7:$Q$55,14,FALSE)</f>
        <v>0.12509999999999999</v>
      </c>
      <c r="G16" s="101">
        <f t="shared" si="0"/>
        <v>0.12587762237762237</v>
      </c>
      <c r="H16" s="122"/>
    </row>
    <row r="17" spans="1:8">
      <c r="A17" s="96">
        <v>210016</v>
      </c>
      <c r="B17" s="97" t="s">
        <v>90</v>
      </c>
      <c r="C17" s="98">
        <v>0.15479999999999999</v>
      </c>
      <c r="D17" s="98">
        <v>0.1346</v>
      </c>
      <c r="E17" s="99">
        <v>1.1273584905660377</v>
      </c>
      <c r="F17" s="100">
        <f>VLOOKUP($A17,'[4]4.CY2018 Improve All Payers'!$A$7:$Q$55,14,FALSE)</f>
        <v>9.7600000000000006E-2</v>
      </c>
      <c r="G17" s="101">
        <f t="shared" si="0"/>
        <v>0.11003018867924529</v>
      </c>
      <c r="H17" s="123"/>
    </row>
    <row r="18" spans="1:8">
      <c r="A18" s="96">
        <v>210017</v>
      </c>
      <c r="B18" s="97" t="s">
        <v>91</v>
      </c>
      <c r="C18" s="98">
        <v>0.1106</v>
      </c>
      <c r="D18" s="98">
        <v>7.6899999999999996E-2</v>
      </c>
      <c r="E18" s="99">
        <v>1.6938775510204083</v>
      </c>
      <c r="F18" s="100">
        <f>VLOOKUP($A18,'[4]4.CY2018 Improve All Payers'!$A$7:$Q$55,14,FALSE)</f>
        <v>6.7500000000000004E-2</v>
      </c>
      <c r="G18" s="101">
        <f t="shared" si="0"/>
        <v>0.11433673469387756</v>
      </c>
      <c r="H18"/>
    </row>
    <row r="19" spans="1:8">
      <c r="A19" s="96">
        <v>210018</v>
      </c>
      <c r="B19" s="97" t="s">
        <v>92</v>
      </c>
      <c r="C19" s="98">
        <v>0.15409999999999999</v>
      </c>
      <c r="D19" s="98">
        <v>0.13950000000000001</v>
      </c>
      <c r="E19" s="99">
        <v>1.1045197740112995</v>
      </c>
      <c r="F19" s="100">
        <f>VLOOKUP($A19,'[4]4.CY2018 Improve All Payers'!$A$7:$Q$55,14,FALSE)</f>
        <v>0.1065</v>
      </c>
      <c r="G19" s="101">
        <f t="shared" si="0"/>
        <v>0.11763135593220339</v>
      </c>
      <c r="H19"/>
    </row>
    <row r="20" spans="1:8">
      <c r="A20" s="96">
        <v>210019</v>
      </c>
      <c r="B20" s="97" t="s">
        <v>93</v>
      </c>
      <c r="C20" s="98">
        <v>0.14530000000000001</v>
      </c>
      <c r="D20" s="98">
        <v>0.1368</v>
      </c>
      <c r="E20" s="99">
        <v>1.0587121212121211</v>
      </c>
      <c r="F20" s="100">
        <f>VLOOKUP($A20,'[4]4.CY2018 Improve All Payers'!$A$7:$Q$55,14,FALSE)</f>
        <v>0.10630000000000001</v>
      </c>
      <c r="G20" s="101">
        <f t="shared" si="0"/>
        <v>0.11254109848484847</v>
      </c>
      <c r="H20"/>
    </row>
    <row r="21" spans="1:8">
      <c r="A21" s="96">
        <v>210022</v>
      </c>
      <c r="B21" s="97" t="s">
        <v>94</v>
      </c>
      <c r="C21" s="98">
        <v>0.12859999999999999</v>
      </c>
      <c r="D21" s="98">
        <v>0.1143</v>
      </c>
      <c r="E21" s="99">
        <v>1.1004566210045663</v>
      </c>
      <c r="F21" s="100">
        <f>VLOOKUP($A21,'[4]4.CY2018 Improve All Payers'!$A$7:$Q$55,14,FALSE)</f>
        <v>0.10340000000000001</v>
      </c>
      <c r="G21" s="101">
        <f t="shared" si="0"/>
        <v>0.11378721461187216</v>
      </c>
      <c r="H21"/>
    </row>
    <row r="22" spans="1:8">
      <c r="A22" s="96">
        <v>210023</v>
      </c>
      <c r="B22" s="97" t="s">
        <v>95</v>
      </c>
      <c r="C22" s="98">
        <v>0.1221</v>
      </c>
      <c r="D22" s="98">
        <v>0.1176</v>
      </c>
      <c r="E22" s="99">
        <v>1.0382165605095541</v>
      </c>
      <c r="F22" s="100">
        <f>VLOOKUP($A22,'[4]4.CY2018 Improve All Payers'!$A$7:$Q$55,14,FALSE)</f>
        <v>0.1118</v>
      </c>
      <c r="G22" s="101">
        <f t="shared" si="0"/>
        <v>0.11607261146496815</v>
      </c>
      <c r="H22"/>
    </row>
    <row r="23" spans="1:8">
      <c r="A23" s="96">
        <v>210024</v>
      </c>
      <c r="B23" s="97" t="s">
        <v>96</v>
      </c>
      <c r="C23" s="98">
        <v>0.12280000000000001</v>
      </c>
      <c r="D23" s="98">
        <v>0.1216</v>
      </c>
      <c r="E23" s="99">
        <v>1.0237288135593221</v>
      </c>
      <c r="F23" s="100">
        <f>VLOOKUP($A23,'[4]4.CY2018 Improve All Payers'!$A$7:$Q$55,14,FALSE)</f>
        <v>0.1176</v>
      </c>
      <c r="G23" s="101">
        <f t="shared" si="0"/>
        <v>0.12039050847457627</v>
      </c>
      <c r="H23"/>
    </row>
    <row r="24" spans="1:8">
      <c r="A24" s="96">
        <v>210027</v>
      </c>
      <c r="B24" s="97" t="s">
        <v>97</v>
      </c>
      <c r="C24" s="98">
        <v>0.1449</v>
      </c>
      <c r="D24" s="98">
        <v>0.13039999999999999</v>
      </c>
      <c r="E24" s="99">
        <v>1.1216617210682494</v>
      </c>
      <c r="F24" s="100">
        <f>VLOOKUP($A24,'[4]4.CY2018 Improve All Payers'!$A$7:$Q$55,14,FALSE)</f>
        <v>0.1022</v>
      </c>
      <c r="G24" s="101">
        <f t="shared" si="0"/>
        <v>0.11463382789317508</v>
      </c>
      <c r="H24"/>
    </row>
    <row r="25" spans="1:8">
      <c r="A25" s="96">
        <v>210028</v>
      </c>
      <c r="B25" s="97" t="s">
        <v>98</v>
      </c>
      <c r="C25" s="98">
        <v>0.15260000000000001</v>
      </c>
      <c r="D25" s="98">
        <v>0.12640000000000001</v>
      </c>
      <c r="E25" s="99">
        <v>1.1643835616438356</v>
      </c>
      <c r="F25" s="100">
        <f>VLOOKUP($A25,'[4]4.CY2018 Improve All Payers'!$A$7:$Q$55,14,FALSE)</f>
        <v>0.1067</v>
      </c>
      <c r="G25" s="101">
        <f t="shared" si="0"/>
        <v>0.12423972602739726</v>
      </c>
      <c r="H25"/>
    </row>
    <row r="26" spans="1:8">
      <c r="A26" s="96">
        <v>210029</v>
      </c>
      <c r="B26" s="97" t="s">
        <v>99</v>
      </c>
      <c r="C26" s="98">
        <v>0.2046</v>
      </c>
      <c r="D26" s="98">
        <v>0.19900000000000001</v>
      </c>
      <c r="E26" s="99">
        <v>1.0176322418136021</v>
      </c>
      <c r="F26" s="100">
        <f>VLOOKUP($A26,'[4]4.CY2018 Improve All Payers'!$A$7:$Q$55,14,FALSE)</f>
        <v>0.13420000000000001</v>
      </c>
      <c r="G26" s="101">
        <f t="shared" si="0"/>
        <v>0.13656624685138541</v>
      </c>
      <c r="H26"/>
    </row>
    <row r="27" spans="1:8">
      <c r="A27" s="96">
        <v>210030</v>
      </c>
      <c r="B27" s="97" t="s">
        <v>100</v>
      </c>
      <c r="C27" s="98">
        <v>0.13539999999999999</v>
      </c>
      <c r="D27" s="98">
        <v>0.1268</v>
      </c>
      <c r="E27" s="99">
        <v>1.1206896551724137</v>
      </c>
      <c r="F27" s="100">
        <f>VLOOKUP($A27,'[4]4.CY2018 Improve All Payers'!$A$7:$Q$55,14,FALSE)</f>
        <v>6.9900000000000004E-2</v>
      </c>
      <c r="G27" s="101">
        <f t="shared" si="0"/>
        <v>7.8336206896551727E-2</v>
      </c>
      <c r="H27"/>
    </row>
    <row r="28" spans="1:8">
      <c r="A28" s="96">
        <v>210032</v>
      </c>
      <c r="B28" s="97" t="s">
        <v>101</v>
      </c>
      <c r="C28" s="98">
        <v>0.16980000000000001</v>
      </c>
      <c r="D28" s="98">
        <v>0.14169999999999999</v>
      </c>
      <c r="E28" s="99">
        <v>1.2820512820512822</v>
      </c>
      <c r="F28" s="100">
        <f>VLOOKUP($A28,'[4]4.CY2018 Improve All Payers'!$A$7:$Q$55,14,FALSE)</f>
        <v>0.10290000000000001</v>
      </c>
      <c r="G28" s="101">
        <f t="shared" si="0"/>
        <v>0.13192307692307695</v>
      </c>
      <c r="H28"/>
    </row>
    <row r="29" spans="1:8">
      <c r="A29" s="96">
        <v>210033</v>
      </c>
      <c r="B29" s="97" t="s">
        <v>102</v>
      </c>
      <c r="C29" s="98">
        <v>0.14910000000000001</v>
      </c>
      <c r="D29" s="98">
        <v>0.14369999999999999</v>
      </c>
      <c r="E29" s="99">
        <v>1.0406015037593985</v>
      </c>
      <c r="F29" s="100">
        <f>VLOOKUP($A29,'[4]4.CY2018 Improve All Payers'!$A$7:$Q$55,14,FALSE)</f>
        <v>0.112</v>
      </c>
      <c r="G29" s="101">
        <f t="shared" si="0"/>
        <v>0.11654736842105264</v>
      </c>
      <c r="H29"/>
    </row>
    <row r="30" spans="1:8">
      <c r="A30" s="96">
        <v>210034</v>
      </c>
      <c r="B30" s="97" t="s">
        <v>103</v>
      </c>
      <c r="C30" s="98">
        <v>0.17580000000000001</v>
      </c>
      <c r="D30" s="98">
        <v>0.17469999999999999</v>
      </c>
      <c r="E30" s="99">
        <v>1.0144092219020173</v>
      </c>
      <c r="F30" s="100">
        <f>VLOOKUP($A30,'[4]4.CY2018 Improve All Payers'!$A$7:$Q$55,14,FALSE)</f>
        <v>0.13469999999999999</v>
      </c>
      <c r="G30" s="101">
        <f t="shared" si="0"/>
        <v>0.13664092219020171</v>
      </c>
      <c r="H30"/>
    </row>
    <row r="31" spans="1:8">
      <c r="A31" s="96">
        <v>210035</v>
      </c>
      <c r="B31" s="97" t="s">
        <v>104</v>
      </c>
      <c r="C31" s="98">
        <v>0.15079999999999999</v>
      </c>
      <c r="D31" s="98">
        <v>0.1293</v>
      </c>
      <c r="E31" s="99">
        <v>1.1416184971098267</v>
      </c>
      <c r="F31" s="100">
        <f>VLOOKUP($A31,'[4]4.CY2018 Improve All Payers'!$A$7:$Q$55,14,FALSE)</f>
        <v>9.8500000000000004E-2</v>
      </c>
      <c r="G31" s="101">
        <f t="shared" si="0"/>
        <v>0.11244942196531793</v>
      </c>
      <c r="H31"/>
    </row>
    <row r="32" spans="1:8">
      <c r="A32" s="96">
        <v>210037</v>
      </c>
      <c r="B32" s="97" t="s">
        <v>105</v>
      </c>
      <c r="C32" s="98">
        <v>0.1386</v>
      </c>
      <c r="D32" s="98">
        <v>0.1328</v>
      </c>
      <c r="E32" s="99">
        <v>1.0509977827050998</v>
      </c>
      <c r="F32" s="100">
        <f>VLOOKUP($A32,'[4]4.CY2018 Improve All Payers'!$A$7:$Q$55,14,FALSE)</f>
        <v>8.6999999999999994E-2</v>
      </c>
      <c r="G32" s="101">
        <f t="shared" si="0"/>
        <v>9.1436807095343672E-2</v>
      </c>
      <c r="H32"/>
    </row>
    <row r="33" spans="1:8">
      <c r="A33" s="96">
        <v>210038</v>
      </c>
      <c r="B33" s="97" t="s">
        <v>106</v>
      </c>
      <c r="C33" s="98">
        <v>0.2424</v>
      </c>
      <c r="D33" s="98">
        <v>0.2384</v>
      </c>
      <c r="E33" s="99">
        <v>1.0075187969924813</v>
      </c>
      <c r="F33" s="100">
        <f>VLOOKUP($A33,'[4]4.CY2018 Improve All Payers'!$A$7:$Q$55,14,FALSE)</f>
        <v>0.1419</v>
      </c>
      <c r="G33" s="101">
        <f t="shared" si="0"/>
        <v>0.14296691729323308</v>
      </c>
      <c r="H33"/>
    </row>
    <row r="34" spans="1:8">
      <c r="A34" s="96">
        <v>210039</v>
      </c>
      <c r="B34" s="97" t="s">
        <v>107</v>
      </c>
      <c r="C34" s="98">
        <v>0.13220000000000001</v>
      </c>
      <c r="D34" s="98">
        <v>0.11849999999999999</v>
      </c>
      <c r="E34" s="99">
        <v>1.1375464684014871</v>
      </c>
      <c r="F34" s="100">
        <f>VLOOKUP($A34,'[4]4.CY2018 Improve All Payers'!$A$7:$Q$55,14,FALSE)</f>
        <v>9.7600000000000006E-2</v>
      </c>
      <c r="G34" s="101">
        <f t="shared" si="0"/>
        <v>0.11102453531598515</v>
      </c>
      <c r="H34"/>
    </row>
    <row r="35" spans="1:8">
      <c r="A35" s="96">
        <v>210040</v>
      </c>
      <c r="B35" s="97" t="s">
        <v>108</v>
      </c>
      <c r="C35" s="98">
        <v>0.1467</v>
      </c>
      <c r="D35" s="98">
        <v>0.14499999999999999</v>
      </c>
      <c r="E35" s="99">
        <v>1.0054347826086956</v>
      </c>
      <c r="F35" s="100">
        <f>VLOOKUP($A35,'[4]4.CY2018 Improve All Payers'!$A$7:$Q$55,14,FALSE)</f>
        <v>0.1067</v>
      </c>
      <c r="G35" s="101">
        <f t="shared" si="0"/>
        <v>0.10727989130434783</v>
      </c>
      <c r="H35"/>
    </row>
    <row r="36" spans="1:8">
      <c r="A36" s="96">
        <v>210043</v>
      </c>
      <c r="B36" s="97" t="s">
        <v>109</v>
      </c>
      <c r="C36" s="98">
        <v>0.15129999999999999</v>
      </c>
      <c r="D36" s="98">
        <v>0.14899999999999999</v>
      </c>
      <c r="E36" s="99">
        <v>1.015511892450879</v>
      </c>
      <c r="F36" s="100">
        <f>VLOOKUP($A36,'[4]4.CY2018 Improve All Payers'!$A$7:$Q$55,14,FALSE)</f>
        <v>0.1099</v>
      </c>
      <c r="G36" s="101">
        <f t="shared" si="0"/>
        <v>0.1116047569803516</v>
      </c>
      <c r="H36"/>
    </row>
    <row r="37" spans="1:8">
      <c r="A37" s="96">
        <v>210044</v>
      </c>
      <c r="B37" s="97" t="s">
        <v>110</v>
      </c>
      <c r="C37" s="98">
        <v>0.115</v>
      </c>
      <c r="D37" s="98">
        <v>0.11310000000000001</v>
      </c>
      <c r="E37" s="99">
        <v>1.0235756385068762</v>
      </c>
      <c r="F37" s="100">
        <f>VLOOKUP($A37,'[4]4.CY2018 Improve All Payers'!$A$7:$Q$55,14,FALSE)</f>
        <v>0.1023</v>
      </c>
      <c r="G37" s="101">
        <f t="shared" si="0"/>
        <v>0.10471178781925343</v>
      </c>
      <c r="H37"/>
    </row>
    <row r="38" spans="1:8">
      <c r="A38" s="96">
        <v>210045</v>
      </c>
      <c r="B38" s="97" t="s">
        <v>111</v>
      </c>
      <c r="C38" s="98">
        <v>0.1027</v>
      </c>
      <c r="D38" s="98">
        <v>0.1027</v>
      </c>
      <c r="E38" s="99">
        <v>1</v>
      </c>
      <c r="F38" s="100">
        <f>VLOOKUP($A38,'[4]4.CY2018 Improve All Payers'!$A$7:$Q$55,14,FALSE)</f>
        <v>0.11219999999999999</v>
      </c>
      <c r="G38" s="101">
        <f t="shared" si="0"/>
        <v>0.11219999999999999</v>
      </c>
      <c r="H38"/>
    </row>
    <row r="39" spans="1:8">
      <c r="A39" s="96">
        <v>210048</v>
      </c>
      <c r="B39" s="97" t="s">
        <v>112</v>
      </c>
      <c r="C39" s="98">
        <v>0.14860000000000001</v>
      </c>
      <c r="D39" s="98">
        <v>0.14610000000000001</v>
      </c>
      <c r="E39" s="99">
        <v>1.0184956843403206</v>
      </c>
      <c r="F39" s="100">
        <f>VLOOKUP($A39,'[4]4.CY2018 Improve All Payers'!$A$7:$Q$55,14,FALSE)</f>
        <v>0.1069</v>
      </c>
      <c r="G39" s="101">
        <f t="shared" si="0"/>
        <v>0.10887718865598027</v>
      </c>
      <c r="H39"/>
    </row>
    <row r="40" spans="1:8">
      <c r="A40" s="96">
        <v>210049</v>
      </c>
      <c r="B40" s="97" t="s">
        <v>113</v>
      </c>
      <c r="C40" s="98">
        <v>0.11650000000000001</v>
      </c>
      <c r="D40" s="98">
        <v>0.1145</v>
      </c>
      <c r="E40" s="99">
        <v>1.0208333333333333</v>
      </c>
      <c r="F40" s="100">
        <f>VLOOKUP($A40,'[4]4.CY2018 Improve All Payers'!$A$7:$Q$55,14,FALSE)</f>
        <v>0.1081</v>
      </c>
      <c r="G40" s="101">
        <f t="shared" si="0"/>
        <v>0.11035208333333332</v>
      </c>
      <c r="H40"/>
    </row>
    <row r="41" spans="1:8">
      <c r="A41" s="96">
        <v>210051</v>
      </c>
      <c r="B41" s="97" t="s">
        <v>114</v>
      </c>
      <c r="C41" s="98">
        <v>0.1583</v>
      </c>
      <c r="D41" s="98">
        <v>0.14319999999999999</v>
      </c>
      <c r="E41" s="99">
        <v>1.1373390557939915</v>
      </c>
      <c r="F41" s="100">
        <f>VLOOKUP($A41,'[4]4.CY2018 Improve All Payers'!$A$7:$Q$55,14,FALSE)</f>
        <v>9.64E-2</v>
      </c>
      <c r="G41" s="101">
        <f t="shared" si="0"/>
        <v>0.10963948497854079</v>
      </c>
      <c r="H41"/>
    </row>
    <row r="42" spans="1:8">
      <c r="A42" s="96">
        <v>210055</v>
      </c>
      <c r="B42" s="97" t="s">
        <v>115</v>
      </c>
      <c r="C42" s="98">
        <v>0.18859999999999999</v>
      </c>
      <c r="D42" s="98">
        <v>0.184</v>
      </c>
      <c r="E42" s="99">
        <v>1.0446428571428572</v>
      </c>
      <c r="F42" s="100">
        <f>VLOOKUP($A42,'[4]4.CY2018 Improve All Payers'!$A$7:$Q$55,14,FALSE)</f>
        <v>0.11559999999999999</v>
      </c>
      <c r="G42" s="101">
        <f t="shared" si="0"/>
        <v>0.12076071428571429</v>
      </c>
      <c r="H42"/>
    </row>
    <row r="43" spans="1:8">
      <c r="A43" s="96">
        <v>210056</v>
      </c>
      <c r="B43" s="97" t="s">
        <v>116</v>
      </c>
      <c r="C43" s="98">
        <v>0.1673</v>
      </c>
      <c r="D43" s="98">
        <v>0.16589999999999999</v>
      </c>
      <c r="E43" s="99">
        <v>1.0032154340836013</v>
      </c>
      <c r="F43" s="100">
        <f>VLOOKUP($A43,'[4]4.CY2018 Improve All Payers'!$A$7:$Q$55,14,FALSE)</f>
        <v>0.1318</v>
      </c>
      <c r="G43" s="101">
        <f t="shared" si="0"/>
        <v>0.13222379421221864</v>
      </c>
      <c r="H43"/>
    </row>
    <row r="44" spans="1:8">
      <c r="A44" s="96">
        <v>210057</v>
      </c>
      <c r="B44" s="97" t="s">
        <v>117</v>
      </c>
      <c r="C44" s="98">
        <v>0.13420000000000001</v>
      </c>
      <c r="D44" s="98">
        <v>0.12640000000000001</v>
      </c>
      <c r="E44" s="99">
        <v>1.0600706713780919</v>
      </c>
      <c r="F44" s="100">
        <f>VLOOKUP($A44,'[4]4.CY2018 Improve All Payers'!$A$7:$Q$55,14,FALSE)</f>
        <v>9.6699999999999994E-2</v>
      </c>
      <c r="G44" s="101">
        <f t="shared" si="0"/>
        <v>0.10250883392226148</v>
      </c>
      <c r="H44"/>
    </row>
    <row r="45" spans="1:8">
      <c r="A45" s="96">
        <v>210058</v>
      </c>
      <c r="B45" s="97" t="s">
        <v>118</v>
      </c>
      <c r="C45" s="98">
        <v>5.6500000000000002E-2</v>
      </c>
      <c r="D45" s="98">
        <v>5.6500000000000002E-2</v>
      </c>
      <c r="E45" s="99">
        <v>1</v>
      </c>
      <c r="F45" s="100">
        <f>VLOOKUP($A45,'[4]4.CY2018 Improve All Payers'!$A$7:$Q$55,14,FALSE)</f>
        <v>7.6200000000000004E-2</v>
      </c>
      <c r="G45" s="101">
        <f t="shared" si="0"/>
        <v>7.6200000000000004E-2</v>
      </c>
      <c r="H45"/>
    </row>
    <row r="46" spans="1:8">
      <c r="A46" s="96">
        <v>210060</v>
      </c>
      <c r="B46" s="97" t="s">
        <v>119</v>
      </c>
      <c r="C46" s="98">
        <v>0.1512</v>
      </c>
      <c r="D46" s="98">
        <v>0.11210000000000001</v>
      </c>
      <c r="E46" s="99">
        <v>1.5135135135135136</v>
      </c>
      <c r="F46" s="100">
        <f>VLOOKUP($A46,'[4]4.CY2018 Improve All Payers'!$A$7:$Q$55,14,FALSE)</f>
        <v>8.1799999999999998E-2</v>
      </c>
      <c r="G46" s="101">
        <f t="shared" si="0"/>
        <v>0.12380540540540541</v>
      </c>
      <c r="H46"/>
    </row>
    <row r="47" spans="1:8">
      <c r="A47" s="96">
        <v>210061</v>
      </c>
      <c r="B47" s="97" t="s">
        <v>120</v>
      </c>
      <c r="C47" s="98">
        <v>0.1298</v>
      </c>
      <c r="D47" s="98">
        <v>0.1208</v>
      </c>
      <c r="E47" s="99">
        <v>1.0603448275862069</v>
      </c>
      <c r="F47" s="100">
        <f>VLOOKUP($A47,'[4]4.CY2018 Improve All Payers'!$A$7:$Q$55,14,FALSE)</f>
        <v>9.4799999999999995E-2</v>
      </c>
      <c r="G47" s="101">
        <f t="shared" si="0"/>
        <v>0.1005206896551724</v>
      </c>
      <c r="H47"/>
    </row>
    <row r="48" spans="1:8">
      <c r="A48" s="96">
        <v>210062</v>
      </c>
      <c r="B48" s="97" t="s">
        <v>121</v>
      </c>
      <c r="C48" s="98">
        <v>0.17510000000000001</v>
      </c>
      <c r="D48" s="98">
        <v>0.13550000000000001</v>
      </c>
      <c r="E48" s="99">
        <v>1.3420427553444181</v>
      </c>
      <c r="F48" s="100">
        <f>VLOOKUP($A48,'[4]4.CY2018 Improve All Payers'!$A$7:$Q$55,14,FALSE)</f>
        <v>9.4500000000000001E-2</v>
      </c>
      <c r="G48" s="101">
        <f t="shared" si="0"/>
        <v>0.12682304038004752</v>
      </c>
      <c r="H48"/>
    </row>
    <row r="49" spans="1:8">
      <c r="A49" s="96">
        <v>210063</v>
      </c>
      <c r="B49" s="97" t="s">
        <v>122</v>
      </c>
      <c r="C49" s="98">
        <v>0.1094</v>
      </c>
      <c r="D49" s="98">
        <v>0.1082</v>
      </c>
      <c r="E49" s="99">
        <v>1.0173661360347324</v>
      </c>
      <c r="F49" s="100">
        <f>VLOOKUP($A49,'[4]4.CY2018 Improve All Payers'!$A$7:$Q$55,14,FALSE)</f>
        <v>0.10489999999999999</v>
      </c>
      <c r="G49" s="101">
        <f t="shared" si="0"/>
        <v>0.10672170767004342</v>
      </c>
      <c r="H49"/>
    </row>
    <row r="50" spans="1:8">
      <c r="A50" s="96">
        <v>210064</v>
      </c>
      <c r="B50" s="97" t="s">
        <v>123</v>
      </c>
      <c r="C50" s="98">
        <v>0.12989999999999999</v>
      </c>
      <c r="D50" s="98">
        <v>0.12429999999999999</v>
      </c>
      <c r="E50" s="99">
        <v>1</v>
      </c>
      <c r="F50" s="100">
        <f>VLOOKUP($A50,'[4]4.CY2018 Improve All Payers'!$A$7:$Q$55,14,FALSE)</f>
        <v>0.1119</v>
      </c>
      <c r="G50" s="101">
        <f t="shared" si="0"/>
        <v>0.1119</v>
      </c>
      <c r="H50"/>
    </row>
    <row r="51" spans="1:8">
      <c r="A51" s="96">
        <v>210065</v>
      </c>
      <c r="B51" s="97" t="s">
        <v>124</v>
      </c>
      <c r="C51" s="98">
        <v>0.13639999999999999</v>
      </c>
      <c r="D51" s="98">
        <v>0.12690000000000001</v>
      </c>
      <c r="E51" s="99">
        <v>1.0434782608695652</v>
      </c>
      <c r="F51" s="100">
        <f>VLOOKUP($A51,'[4]4.CY2018 Improve All Payers'!$A$7:$Q$55,14,FALSE)</f>
        <v>0.11210000000000001</v>
      </c>
      <c r="G51" s="101">
        <f t="shared" si="0"/>
        <v>0.11697391304347826</v>
      </c>
      <c r="H51"/>
    </row>
    <row r="53" spans="1:8">
      <c r="A53" s="6" t="s">
        <v>201</v>
      </c>
      <c r="B53" s="6" t="s">
        <v>203</v>
      </c>
      <c r="E53" s="99">
        <f>[6]Sheet1!$C$55</f>
        <v>1.1532951289398281</v>
      </c>
      <c r="F53" s="111">
        <f>'[5]4.CY2018 Improve All Payers'!N69</f>
        <v>0.11025699856298378</v>
      </c>
      <c r="G53" s="101">
        <f t="shared" ref="G53" si="1">F53*E53</f>
        <v>0.12715885937421481</v>
      </c>
    </row>
  </sheetData>
  <autoFilter ref="A3:H3"/>
  <mergeCells count="1">
    <mergeCell ref="H4:H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74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O45" sqref="O45"/>
    </sheetView>
  </sheetViews>
  <sheetFormatPr defaultColWidth="9.28515625" defaultRowHeight="15"/>
  <cols>
    <col min="1" max="1" width="10" style="12" customWidth="1"/>
    <col min="2" max="2" width="30" style="13" customWidth="1"/>
    <col min="3" max="3" width="18.85546875" style="12" customWidth="1"/>
    <col min="4" max="4" width="11" style="12" customWidth="1"/>
    <col min="5" max="5" width="16.7109375" style="12" customWidth="1"/>
    <col min="6" max="8" width="17.140625" style="12" customWidth="1"/>
    <col min="9" max="9" width="8.7109375" style="12" customWidth="1"/>
    <col min="10" max="10" width="12.5703125" style="12" customWidth="1"/>
    <col min="11" max="11" width="15" style="12" customWidth="1"/>
    <col min="12" max="12" width="16" style="12" customWidth="1"/>
    <col min="13" max="13" width="9.140625" style="12" customWidth="1"/>
    <col min="14" max="14" width="13" style="12" customWidth="1"/>
    <col min="15" max="15" width="16.140625" style="12" customWidth="1"/>
    <col min="16" max="16" width="18" style="49" customWidth="1"/>
    <col min="17" max="17" width="13.140625" style="12" customWidth="1"/>
    <col min="18" max="18" width="14.5703125" style="12" customWidth="1"/>
    <col min="19" max="19" width="9.28515625" style="12"/>
    <col min="20" max="20" width="28.140625" style="12" bestFit="1" customWidth="1"/>
    <col min="21" max="21" width="10.140625" style="12" bestFit="1" customWidth="1"/>
    <col min="22" max="16384" width="9.28515625" style="12"/>
  </cols>
  <sheetData>
    <row r="1" spans="1:21" ht="15.75">
      <c r="A1" s="8" t="s">
        <v>196</v>
      </c>
    </row>
    <row r="2" spans="1:21" ht="15.75">
      <c r="B2" s="54"/>
      <c r="C2" s="9"/>
      <c r="D2" s="10"/>
      <c r="E2" s="11"/>
      <c r="F2" s="10"/>
      <c r="G2" s="10"/>
      <c r="H2" s="10"/>
      <c r="I2" s="124" t="s">
        <v>61</v>
      </c>
      <c r="J2" s="125"/>
      <c r="K2" s="126"/>
      <c r="L2" s="128" t="s">
        <v>62</v>
      </c>
      <c r="M2" s="129"/>
      <c r="N2" s="129"/>
      <c r="O2" s="130"/>
      <c r="P2" s="131" t="s">
        <v>63</v>
      </c>
      <c r="Q2" s="132"/>
      <c r="R2" s="132"/>
      <c r="T2" s="84" t="s">
        <v>190</v>
      </c>
      <c r="U2" s="84" t="s">
        <v>204</v>
      </c>
    </row>
    <row r="3" spans="1:21" s="67" customFormat="1" ht="90">
      <c r="A3" s="68" t="s">
        <v>64</v>
      </c>
      <c r="B3" s="62" t="s">
        <v>65</v>
      </c>
      <c r="C3" s="63" t="s">
        <v>191</v>
      </c>
      <c r="D3" s="64" t="s">
        <v>206</v>
      </c>
      <c r="E3" s="64" t="s">
        <v>207</v>
      </c>
      <c r="F3" s="64" t="s">
        <v>208</v>
      </c>
      <c r="G3" s="64" t="s">
        <v>192</v>
      </c>
      <c r="H3" s="64" t="s">
        <v>193</v>
      </c>
      <c r="I3" s="65" t="s">
        <v>170</v>
      </c>
      <c r="J3" s="65" t="s">
        <v>171</v>
      </c>
      <c r="K3" s="65" t="s">
        <v>172</v>
      </c>
      <c r="L3" s="66" t="s">
        <v>209</v>
      </c>
      <c r="M3" s="66" t="s">
        <v>176</v>
      </c>
      <c r="N3" s="66" t="s">
        <v>171</v>
      </c>
      <c r="O3" s="66" t="s">
        <v>172</v>
      </c>
      <c r="P3" s="61" t="s">
        <v>173</v>
      </c>
      <c r="Q3" s="61" t="s">
        <v>210</v>
      </c>
      <c r="R3" s="61" t="s">
        <v>174</v>
      </c>
      <c r="T3" s="85" t="s">
        <v>211</v>
      </c>
      <c r="U3" s="102">
        <v>43581</v>
      </c>
    </row>
    <row r="4" spans="1:21">
      <c r="A4" s="14">
        <v>210001</v>
      </c>
      <c r="B4" s="55" t="s">
        <v>42</v>
      </c>
      <c r="C4" s="16">
        <f>VLOOKUP(A4,'[7]Source Revenue'!$A:$D,4,FALSE)</f>
        <v>219551750.19037277</v>
      </c>
      <c r="D4" s="17">
        <f>VLOOKUP(A4,'Source Readmission Final'!A:Q,16,FALSE)</f>
        <v>-6.4399999999999999E-2</v>
      </c>
      <c r="E4" s="17">
        <f>VLOOKUP(A4,'Source Readmission Final'!A:Q,8,FALSE)</f>
        <v>0.11210000000000001</v>
      </c>
      <c r="F4" s="17">
        <f>VLOOKUP(A4,'Source Readmission Final'!A:O,14,FALSE)</f>
        <v>0.1079</v>
      </c>
      <c r="G4" s="17">
        <f>VLOOKUP(A4,'Source Readmission Final'!A:Q,15,FALSE)</f>
        <v>-3.7499999999999999E-2</v>
      </c>
      <c r="H4" s="17">
        <f>VLOOKUP(A4,'Source Readmission Final'!A:Q,17,FALSE)</f>
        <v>-9.9485000000000004E-2</v>
      </c>
      <c r="I4" s="19">
        <f t="shared" ref="I4:I50" si="0">ImpTarget</f>
        <v>-0.14299999999999999</v>
      </c>
      <c r="J4" s="20">
        <f t="shared" ref="J4:J50" si="1">ROUND(IF(H4&lt;=ImpMaxRewardScore,MaxReward,IF(H4&gt;=ImpMaxPenaltyScore,MaxPenalty,IF(H4&lt;=ImpTarget,MaxReward*((H4-ImpTarget)/(ImpMaxRewardScore-ImpTarget)),MaxPenalty*((H4-ImpTarget)/(ImpMaxPenaltyScore-ImpTarget))))),4)</f>
        <v>-4.1000000000000003E-3</v>
      </c>
      <c r="K4" s="21">
        <f t="shared" ref="K4:K45" si="2">ROUND($C4*J4,0)</f>
        <v>-900162</v>
      </c>
      <c r="L4" s="17">
        <f>VLOOKUP(A4,'Readmit Attainment'!A:G,7,FALSE)</f>
        <v>0.1127265407554672</v>
      </c>
      <c r="M4" s="22">
        <f t="shared" ref="M4:M51" si="3">AttTarget</f>
        <v>0.107</v>
      </c>
      <c r="N4" s="20">
        <f t="shared" ref="N4:N51" si="4">ROUND(IF(L4&lt;=AttMaxRewardScore,MaxReward,IF(L4&gt;=AttMaxPenaltyScore,MaxPenalty,IF(L4&lt;=AttTarget,MaxReward*((L4-AttTarget)/(AttMaxRewardScore-AttTarget)),MaxPenalty*((L4-AttTarget)/(AttMaxPenaltyScore-AttTarget))))),4)</f>
        <v>-1.15E-2</v>
      </c>
      <c r="O4" s="21">
        <f>ROUND($C4*N4,0)</f>
        <v>-2524845</v>
      </c>
      <c r="P4" s="23">
        <f t="shared" ref="P4:P51" si="5">MAX(K4,O4)</f>
        <v>-900162</v>
      </c>
      <c r="Q4" s="22">
        <f t="shared" ref="Q4:Q51" si="6">P4/C4</f>
        <v>-4.0999991993663082E-3</v>
      </c>
      <c r="R4" s="15" t="str">
        <f>IF(P4=O4,"Att",IF(P4=K4,"Imp"))</f>
        <v>Imp</v>
      </c>
      <c r="S4" s="24"/>
      <c r="T4" s="25" t="s">
        <v>194</v>
      </c>
      <c r="U4" s="12" t="s">
        <v>195</v>
      </c>
    </row>
    <row r="5" spans="1:21">
      <c r="A5" s="14">
        <v>210002</v>
      </c>
      <c r="B5" s="55" t="s">
        <v>130</v>
      </c>
      <c r="C5" s="16">
        <f>VLOOKUP(A5,'[7]Source Revenue'!$A:$D,4,FALSE)</f>
        <v>1203673855.8280954</v>
      </c>
      <c r="D5" s="17">
        <f>VLOOKUP(A5,'Source Readmission Final'!A:Q,16,FALSE)</f>
        <v>-0.1195</v>
      </c>
      <c r="E5" s="17">
        <f>VLOOKUP(A5,'Source Readmission Final'!A:Q,8,FALSE)</f>
        <v>0.13</v>
      </c>
      <c r="F5" s="17">
        <f>VLOOKUP(A5,'Source Readmission Final'!A:O,14,FALSE)</f>
        <v>0.127</v>
      </c>
      <c r="G5" s="17">
        <f>VLOOKUP(A5,'Source Readmission Final'!A:Q,15,FALSE)</f>
        <v>-2.3099999999999999E-2</v>
      </c>
      <c r="H5" s="17">
        <f>VLOOKUP(A5,'Source Readmission Final'!A:Q,17,FALSE)</f>
        <v>-0.13983999999999999</v>
      </c>
      <c r="I5" s="19">
        <f t="shared" si="0"/>
        <v>-0.14299999999999999</v>
      </c>
      <c r="J5" s="20">
        <f t="shared" si="1"/>
        <v>-2.9999999999999997E-4</v>
      </c>
      <c r="K5" s="21">
        <f t="shared" si="2"/>
        <v>-361102</v>
      </c>
      <c r="L5" s="17">
        <f>VLOOKUP(A5,'Readmit Attainment'!A:G,7,FALSE)</f>
        <v>0.13136295743091861</v>
      </c>
      <c r="M5" s="22">
        <f t="shared" si="3"/>
        <v>0.107</v>
      </c>
      <c r="N5" s="20">
        <f t="shared" si="4"/>
        <v>-0.02</v>
      </c>
      <c r="O5" s="21">
        <f t="shared" ref="O5:O41" si="7">ROUND($C5*N5,0)</f>
        <v>-24073477</v>
      </c>
      <c r="P5" s="23">
        <f t="shared" si="5"/>
        <v>-361102</v>
      </c>
      <c r="Q5" s="22">
        <f t="shared" si="6"/>
        <v>-2.9999986977499938E-4</v>
      </c>
      <c r="R5" s="15" t="str">
        <f t="shared" ref="R5:R51" si="8">IF(P5=O5,"Att",IF(P5=K5,"Imp"))</f>
        <v>Imp</v>
      </c>
    </row>
    <row r="6" spans="1:21">
      <c r="A6" s="14">
        <v>210003</v>
      </c>
      <c r="B6" s="55" t="s">
        <v>216</v>
      </c>
      <c r="C6" s="16">
        <f>VLOOKUP(A6,'[7]Source Revenue'!$A:$D,4,FALSE)</f>
        <v>282929187.85055101</v>
      </c>
      <c r="D6" s="17">
        <f>VLOOKUP("210003+210055",'Source Readmission Final'!A:Q,16,FALSE)</f>
        <v>-7.1191891082438175E-2</v>
      </c>
      <c r="E6" s="17">
        <f>VLOOKUP("210003+210055",'Source Readmission Final'!A:Q,8,FALSE)</f>
        <v>0.11301451934661676</v>
      </c>
      <c r="F6" s="17">
        <f>VLOOKUP("210003+210055",'Source Readmission Final'!A:O,14,FALSE)</f>
        <v>0.11025699856298378</v>
      </c>
      <c r="G6" s="17">
        <f>VLOOKUP("210003+210055",'Source Readmission Final'!A:Q,15,FALSE)</f>
        <v>-2.4399703680335394E-2</v>
      </c>
      <c r="H6" s="17">
        <f>VLOOKUP("210003+210055",'Source Readmission Final'!A:Q,17,FALSE)</f>
        <v>-9.3854533715919342E-2</v>
      </c>
      <c r="I6" s="19">
        <f t="shared" si="0"/>
        <v>-0.14299999999999999</v>
      </c>
      <c r="J6" s="20">
        <f t="shared" si="1"/>
        <v>-4.7000000000000002E-3</v>
      </c>
      <c r="K6" s="21">
        <f t="shared" si="2"/>
        <v>-1329767</v>
      </c>
      <c r="L6" s="17">
        <f>VLOOKUP("210003+210055",'Readmit Attainment'!A:G,7,FALSE)</f>
        <v>0.12715885937421481</v>
      </c>
      <c r="M6" s="22">
        <f t="shared" si="3"/>
        <v>0.107</v>
      </c>
      <c r="N6" s="20">
        <f t="shared" si="4"/>
        <v>-0.02</v>
      </c>
      <c r="O6" s="21">
        <f t="shared" si="7"/>
        <v>-5658584</v>
      </c>
      <c r="P6" s="23">
        <f t="shared" si="5"/>
        <v>-1329767</v>
      </c>
      <c r="Q6" s="22">
        <f t="shared" si="6"/>
        <v>-4.6999993535570116E-3</v>
      </c>
      <c r="R6" s="15" t="str">
        <f t="shared" si="8"/>
        <v>Imp</v>
      </c>
    </row>
    <row r="7" spans="1:21">
      <c r="A7" s="14">
        <v>210004</v>
      </c>
      <c r="B7" s="55" t="s">
        <v>43</v>
      </c>
      <c r="C7" s="16">
        <f>VLOOKUP(A7,'[7]Source Revenue'!$A:$D,4,FALSE)</f>
        <v>355608691.5874365</v>
      </c>
      <c r="D7" s="17">
        <f>VLOOKUP(A7,'Source Readmission Final'!A:Q,16,FALSE)</f>
        <v>2.3E-2</v>
      </c>
      <c r="E7" s="17">
        <f>VLOOKUP(A7,'Source Readmission Final'!A:Q,8,FALSE)</f>
        <v>0.11700000000000001</v>
      </c>
      <c r="F7" s="17">
        <f>VLOOKUP(A7,'Source Readmission Final'!A:O,14,FALSE)</f>
        <v>0.11210000000000001</v>
      </c>
      <c r="G7" s="17">
        <f>VLOOKUP(A7,'Source Readmission Final'!A:Q,15,FALSE)</f>
        <v>-4.19E-2</v>
      </c>
      <c r="H7" s="17">
        <f>VLOOKUP(A7,'Source Readmission Final'!A:Q,17,FALSE)</f>
        <v>-1.9864E-2</v>
      </c>
      <c r="I7" s="19">
        <f t="shared" si="0"/>
        <v>-0.14299999999999999</v>
      </c>
      <c r="J7" s="20">
        <f t="shared" si="1"/>
        <v>-1.17E-2</v>
      </c>
      <c r="K7" s="21">
        <f t="shared" si="2"/>
        <v>-4160622</v>
      </c>
      <c r="L7" s="17">
        <f>VLOOKUP(A7,'Readmit Attainment'!A:G,7,FALSE)</f>
        <v>0.12245039123630673</v>
      </c>
      <c r="M7" s="22">
        <f t="shared" si="3"/>
        <v>0.107</v>
      </c>
      <c r="N7" s="20">
        <f t="shared" si="4"/>
        <v>-0.02</v>
      </c>
      <c r="O7" s="21">
        <f t="shared" si="7"/>
        <v>-7112174</v>
      </c>
      <c r="P7" s="23">
        <f t="shared" si="5"/>
        <v>-4160622</v>
      </c>
      <c r="Q7" s="22">
        <f t="shared" si="6"/>
        <v>-1.17000008673213E-2</v>
      </c>
      <c r="R7" s="15" t="str">
        <f t="shared" si="8"/>
        <v>Imp</v>
      </c>
    </row>
    <row r="8" spans="1:21">
      <c r="A8" s="14">
        <v>210005</v>
      </c>
      <c r="B8" s="55" t="s">
        <v>214</v>
      </c>
      <c r="C8" s="16">
        <f>VLOOKUP(A8,'[7]Source Revenue'!$A:$D,4,FALSE)</f>
        <v>232665826.88068572</v>
      </c>
      <c r="D8" s="17">
        <f>VLOOKUP(A8,'Source Readmission Final'!A:Q,16,FALSE)</f>
        <v>-9.8100000000000007E-2</v>
      </c>
      <c r="E8" s="17">
        <f>VLOOKUP(A8,'Source Readmission Final'!A:Q,8,FALSE)</f>
        <v>9.7100000000000006E-2</v>
      </c>
      <c r="F8" s="17">
        <f>VLOOKUP(A8,'Source Readmission Final'!A:O,14,FALSE)</f>
        <v>9.7600000000000006E-2</v>
      </c>
      <c r="G8" s="17">
        <f>VLOOKUP(A8,'Source Readmission Final'!A:Q,15,FALSE)</f>
        <v>5.1000000000000004E-3</v>
      </c>
      <c r="H8" s="17">
        <f>VLOOKUP(A8,'Source Readmission Final'!A:Q,17,FALSE)</f>
        <v>-9.35E-2</v>
      </c>
      <c r="I8" s="19">
        <f t="shared" si="0"/>
        <v>-0.14299999999999999</v>
      </c>
      <c r="J8" s="20">
        <f t="shared" si="1"/>
        <v>-4.7000000000000002E-3</v>
      </c>
      <c r="K8" s="21">
        <f t="shared" si="2"/>
        <v>-1093529</v>
      </c>
      <c r="L8" s="17">
        <f>VLOOKUP(A8,'Readmit Attainment'!A:G,7,FALSE)</f>
        <v>0.10111500600240096</v>
      </c>
      <c r="M8" s="22">
        <f t="shared" si="3"/>
        <v>0.107</v>
      </c>
      <c r="N8" s="20">
        <f t="shared" si="4"/>
        <v>0.01</v>
      </c>
      <c r="O8" s="21">
        <f t="shared" si="7"/>
        <v>2326658</v>
      </c>
      <c r="P8" s="23">
        <f t="shared" si="5"/>
        <v>2326658</v>
      </c>
      <c r="Q8" s="22">
        <f t="shared" si="6"/>
        <v>9.9999988446654985E-3</v>
      </c>
      <c r="R8" s="15" t="str">
        <f t="shared" si="8"/>
        <v>Att</v>
      </c>
    </row>
    <row r="9" spans="1:21">
      <c r="A9" s="14">
        <v>210006</v>
      </c>
      <c r="B9" s="55" t="s">
        <v>217</v>
      </c>
      <c r="C9" s="16">
        <f>VLOOKUP(A9,'[7]Source Revenue'!$A:$D,4,FALSE)</f>
        <v>54181185.872883432</v>
      </c>
      <c r="D9" s="17">
        <f>VLOOKUP(A9,'Source Readmission Final'!A:Q,16,FALSE)</f>
        <v>5.3800000000000001E-2</v>
      </c>
      <c r="E9" s="17">
        <f>VLOOKUP(A9,'Source Readmission Final'!A:Q,8,FALSE)</f>
        <v>0.12690000000000001</v>
      </c>
      <c r="F9" s="17">
        <f>VLOOKUP(A9,'Source Readmission Final'!A:O,14,FALSE)</f>
        <v>0.1055</v>
      </c>
      <c r="G9" s="17">
        <f>VLOOKUP(A9,'Source Readmission Final'!A:Q,15,FALSE)</f>
        <v>-0.1686</v>
      </c>
      <c r="H9" s="17">
        <f>VLOOKUP(A9,'Source Readmission Final'!A:Q,17,FALSE)</f>
        <v>-0.123871</v>
      </c>
      <c r="I9" s="19">
        <f t="shared" si="0"/>
        <v>-0.14299999999999999</v>
      </c>
      <c r="J9" s="20">
        <f t="shared" si="1"/>
        <v>-1.8E-3</v>
      </c>
      <c r="K9" s="21">
        <f t="shared" si="2"/>
        <v>-97526</v>
      </c>
      <c r="L9" s="17">
        <f>VLOOKUP(A9,'Readmit Attainment'!A:G,7,FALSE)</f>
        <v>0.10766188524590163</v>
      </c>
      <c r="M9" s="22">
        <f t="shared" si="3"/>
        <v>0.107</v>
      </c>
      <c r="N9" s="20">
        <f t="shared" si="4"/>
        <v>-1.2999999999999999E-3</v>
      </c>
      <c r="O9" s="21">
        <f t="shared" si="7"/>
        <v>-70436</v>
      </c>
      <c r="P9" s="23">
        <f t="shared" si="5"/>
        <v>-70436</v>
      </c>
      <c r="Q9" s="22">
        <f t="shared" si="6"/>
        <v>-1.3000084598600815E-3</v>
      </c>
      <c r="R9" s="15" t="str">
        <f t="shared" si="8"/>
        <v>Att</v>
      </c>
    </row>
    <row r="10" spans="1:21">
      <c r="A10" s="14">
        <v>210008</v>
      </c>
      <c r="B10" s="55" t="s">
        <v>44</v>
      </c>
      <c r="C10" s="16">
        <f>VLOOKUP(A10,'[7]Source Revenue'!$A:$D,4,FALSE)</f>
        <v>226492002.26683223</v>
      </c>
      <c r="D10" s="17">
        <f>VLOOKUP(A10,'Source Readmission Final'!A:Q,16,FALSE)</f>
        <v>-0.18479999999999999</v>
      </c>
      <c r="E10" s="17">
        <f>VLOOKUP(A10,'Source Readmission Final'!A:Q,8,FALSE)</f>
        <v>0.1237</v>
      </c>
      <c r="F10" s="17">
        <f>VLOOKUP(A10,'Source Readmission Final'!A:O,14,FALSE)</f>
        <v>0.12</v>
      </c>
      <c r="G10" s="17">
        <f>VLOOKUP(A10,'Source Readmission Final'!A:Q,15,FALSE)</f>
        <v>-2.9899999999999999E-2</v>
      </c>
      <c r="H10" s="17">
        <f>VLOOKUP(A10,'Source Readmission Final'!A:Q,17,FALSE)</f>
        <v>-0.209174</v>
      </c>
      <c r="I10" s="19">
        <f t="shared" si="0"/>
        <v>-0.14299999999999999</v>
      </c>
      <c r="J10" s="20">
        <f t="shared" si="1"/>
        <v>6.3E-3</v>
      </c>
      <c r="K10" s="21">
        <f t="shared" si="2"/>
        <v>1426900</v>
      </c>
      <c r="L10" s="17">
        <f>VLOOKUP(A10,'Readmit Attainment'!A:G,7,FALSE)</f>
        <v>0.12191343963553532</v>
      </c>
      <c r="M10" s="22">
        <f t="shared" si="3"/>
        <v>0.107</v>
      </c>
      <c r="N10" s="20">
        <f t="shared" si="4"/>
        <v>-0.02</v>
      </c>
      <c r="O10" s="21">
        <f t="shared" si="7"/>
        <v>-4529840</v>
      </c>
      <c r="P10" s="23">
        <f t="shared" si="5"/>
        <v>1426900</v>
      </c>
      <c r="Q10" s="22">
        <f t="shared" si="6"/>
        <v>6.3000017030135861E-3</v>
      </c>
      <c r="R10" s="15" t="str">
        <f t="shared" si="8"/>
        <v>Imp</v>
      </c>
    </row>
    <row r="11" spans="1:21" s="26" customFormat="1">
      <c r="A11" s="14">
        <v>210009</v>
      </c>
      <c r="B11" s="55" t="s">
        <v>45</v>
      </c>
      <c r="C11" s="16">
        <f>VLOOKUP(A11,'[7]Source Revenue'!$A:$D,4,FALSE)</f>
        <v>1456687423.7785687</v>
      </c>
      <c r="D11" s="17">
        <f>VLOOKUP(A11,'Source Readmission Final'!A:Q,16,FALSE)</f>
        <v>-0.12659999999999999</v>
      </c>
      <c r="E11" s="17">
        <f>VLOOKUP(A11,'Source Readmission Final'!A:Q,8,FALSE)</f>
        <v>0.13020000000000001</v>
      </c>
      <c r="F11" s="17">
        <f>VLOOKUP(A11,'Source Readmission Final'!A:O,14,FALSE)</f>
        <v>0.12659999999999999</v>
      </c>
      <c r="G11" s="17">
        <f>VLOOKUP(A11,'Source Readmission Final'!A:Q,15,FALSE)</f>
        <v>-2.76E-2</v>
      </c>
      <c r="H11" s="17">
        <f>VLOOKUP(A11,'Source Readmission Final'!A:Q,17,FALSE)</f>
        <v>-0.15070600000000001</v>
      </c>
      <c r="I11" s="19">
        <f t="shared" si="0"/>
        <v>-0.14299999999999999</v>
      </c>
      <c r="J11" s="20">
        <f t="shared" si="1"/>
        <v>6.9999999999999999E-4</v>
      </c>
      <c r="K11" s="21">
        <f t="shared" si="2"/>
        <v>1019681</v>
      </c>
      <c r="L11" s="17">
        <f>VLOOKUP(A11,'Readmit Attainment'!A:G,7,FALSE)</f>
        <v>0.13637884914463452</v>
      </c>
      <c r="M11" s="22">
        <f t="shared" si="3"/>
        <v>0.107</v>
      </c>
      <c r="N11" s="20">
        <f t="shared" si="4"/>
        <v>-0.02</v>
      </c>
      <c r="O11" s="21">
        <f t="shared" si="7"/>
        <v>-29133748</v>
      </c>
      <c r="P11" s="23">
        <f t="shared" si="5"/>
        <v>1019681</v>
      </c>
      <c r="Q11" s="22">
        <f t="shared" si="6"/>
        <v>6.9999986500535747E-4</v>
      </c>
      <c r="R11" s="15" t="str">
        <f t="shared" si="8"/>
        <v>Imp</v>
      </c>
    </row>
    <row r="12" spans="1:21">
      <c r="A12" s="14">
        <v>210010</v>
      </c>
      <c r="B12" s="55" t="s">
        <v>218</v>
      </c>
      <c r="C12" s="16">
        <f>VLOOKUP(A12,'[7]Source Revenue'!$A:$D,4,FALSE)</f>
        <v>22653845.031135526</v>
      </c>
      <c r="D12" s="17">
        <f>VLOOKUP(A12,'Source Readmission Final'!A:Q,16,FALSE)</f>
        <v>4.3099999999999999E-2</v>
      </c>
      <c r="E12" s="17">
        <f>VLOOKUP(A12,'Source Readmission Final'!A:Q,8,FALSE)</f>
        <v>0.1227</v>
      </c>
      <c r="F12" s="17">
        <f>VLOOKUP(A12,'Source Readmission Final'!A:O,14,FALSE)</f>
        <v>9.5899999999999999E-2</v>
      </c>
      <c r="G12" s="17">
        <f>VLOOKUP(A12,'Source Readmission Final'!A:Q,15,FALSE)</f>
        <v>-0.21840000000000001</v>
      </c>
      <c r="H12" s="17">
        <f>VLOOKUP(A12,'Source Readmission Final'!A:Q,17,FALSE)</f>
        <v>-0.18471299999999999</v>
      </c>
      <c r="I12" s="19">
        <f t="shared" si="0"/>
        <v>-0.14299999999999999</v>
      </c>
      <c r="J12" s="20">
        <f t="shared" si="1"/>
        <v>4.0000000000000001E-3</v>
      </c>
      <c r="K12" s="21">
        <f t="shared" si="2"/>
        <v>90615</v>
      </c>
      <c r="L12" s="17">
        <f>VLOOKUP(A12,'Readmit Attainment'!A:G,7,FALSE)</f>
        <v>0.10079068736141907</v>
      </c>
      <c r="M12" s="22">
        <f t="shared" si="3"/>
        <v>0.107</v>
      </c>
      <c r="N12" s="20">
        <f t="shared" si="4"/>
        <v>0.01</v>
      </c>
      <c r="O12" s="21">
        <f t="shared" si="7"/>
        <v>226538</v>
      </c>
      <c r="P12" s="23">
        <f t="shared" si="5"/>
        <v>226538</v>
      </c>
      <c r="Q12" s="22">
        <f t="shared" si="6"/>
        <v>9.9999801220784102E-3</v>
      </c>
      <c r="R12" s="15" t="str">
        <f t="shared" si="8"/>
        <v>Att</v>
      </c>
    </row>
    <row r="13" spans="1:21">
      <c r="A13" s="14">
        <v>210011</v>
      </c>
      <c r="B13" s="55" t="s">
        <v>46</v>
      </c>
      <c r="C13" s="16">
        <f>VLOOKUP(A13,'[7]Source Revenue'!$A:$D,4,FALSE)</f>
        <v>238757730.11486387</v>
      </c>
      <c r="D13" s="17">
        <f>VLOOKUP(A13,'Source Readmission Final'!A:Q,16,FALSE)</f>
        <v>-0.1336</v>
      </c>
      <c r="E13" s="17">
        <f>VLOOKUP(A13,'Source Readmission Final'!A:Q,8,FALSE)</f>
        <v>0.1208</v>
      </c>
      <c r="F13" s="17">
        <f>VLOOKUP(A13,'Source Readmission Final'!A:O,14,FALSE)</f>
        <v>0.1183</v>
      </c>
      <c r="G13" s="17">
        <f>VLOOKUP(A13,'Source Readmission Final'!A:Q,15,FALSE)</f>
        <v>-2.07E-2</v>
      </c>
      <c r="H13" s="17">
        <f>VLOOKUP(A13,'Source Readmission Final'!A:Q,17,FALSE)</f>
        <v>-0.151534</v>
      </c>
      <c r="I13" s="19">
        <f t="shared" si="0"/>
        <v>-0.14299999999999999</v>
      </c>
      <c r="J13" s="20">
        <f t="shared" si="1"/>
        <v>8.0000000000000004E-4</v>
      </c>
      <c r="K13" s="21">
        <f t="shared" si="2"/>
        <v>191006</v>
      </c>
      <c r="L13" s="17">
        <f>VLOOKUP(A13,'Readmit Attainment'!A:G,7,FALSE)</f>
        <v>0.11897793696275072</v>
      </c>
      <c r="M13" s="22">
        <f t="shared" si="3"/>
        <v>0.107</v>
      </c>
      <c r="N13" s="20">
        <f t="shared" si="4"/>
        <v>-0.02</v>
      </c>
      <c r="O13" s="21">
        <f t="shared" si="7"/>
        <v>-4775155</v>
      </c>
      <c r="P13" s="23">
        <f t="shared" si="5"/>
        <v>191006</v>
      </c>
      <c r="Q13" s="22">
        <f t="shared" si="6"/>
        <v>7.999992289594519E-4</v>
      </c>
      <c r="R13" s="15" t="str">
        <f t="shared" si="8"/>
        <v>Imp</v>
      </c>
    </row>
    <row r="14" spans="1:21">
      <c r="A14" s="14">
        <v>210012</v>
      </c>
      <c r="B14" s="55" t="s">
        <v>47</v>
      </c>
      <c r="C14" s="16">
        <f>VLOOKUP(A14,'[7]Source Revenue'!$A:$D,4,FALSE)</f>
        <v>399817672.84297025</v>
      </c>
      <c r="D14" s="17">
        <f>VLOOKUP(A14,'Source Readmission Final'!A:Q,16,FALSE)</f>
        <v>-0.1668</v>
      </c>
      <c r="E14" s="17">
        <f>VLOOKUP(A14,'Source Readmission Final'!A:Q,8,FALSE)</f>
        <v>0.123</v>
      </c>
      <c r="F14" s="17">
        <f>VLOOKUP(A14,'Source Readmission Final'!A:O,14,FALSE)</f>
        <v>0.1106</v>
      </c>
      <c r="G14" s="17">
        <f>VLOOKUP(A14,'Source Readmission Final'!A:Q,15,FALSE)</f>
        <v>-0.1008</v>
      </c>
      <c r="H14" s="17">
        <f>VLOOKUP(A14,'Source Readmission Final'!A:Q,17,FALSE)</f>
        <v>-0.25078699999999998</v>
      </c>
      <c r="I14" s="19">
        <f t="shared" si="0"/>
        <v>-0.14299999999999999</v>
      </c>
      <c r="J14" s="20">
        <f t="shared" si="1"/>
        <v>0.01</v>
      </c>
      <c r="K14" s="21">
        <f t="shared" si="2"/>
        <v>3998177</v>
      </c>
      <c r="L14" s="17">
        <f>VLOOKUP(A14,'Readmit Attainment'!A:G,7,FALSE)</f>
        <v>0.11245882352941176</v>
      </c>
      <c r="M14" s="22">
        <f t="shared" si="3"/>
        <v>0.107</v>
      </c>
      <c r="N14" s="20">
        <f t="shared" si="4"/>
        <v>-1.09E-2</v>
      </c>
      <c r="O14" s="21">
        <f t="shared" si="7"/>
        <v>-4358013</v>
      </c>
      <c r="P14" s="23">
        <f t="shared" si="5"/>
        <v>3998177</v>
      </c>
      <c r="Q14" s="22">
        <f t="shared" si="6"/>
        <v>1.000000067923535E-2</v>
      </c>
      <c r="R14" s="15" t="str">
        <f t="shared" si="8"/>
        <v>Imp</v>
      </c>
    </row>
    <row r="15" spans="1:21">
      <c r="A15" s="14">
        <v>210013</v>
      </c>
      <c r="B15" s="55" t="s">
        <v>48</v>
      </c>
      <c r="C15" s="16">
        <f>VLOOKUP(A15,'[7]Source Revenue'!$A:$D,4,FALSE)</f>
        <v>64363349.161197074</v>
      </c>
      <c r="D15" s="17">
        <f>VLOOKUP(A15,'Source Readmission Final'!A:Q,16,FALSE)</f>
        <v>-0.22770000000000001</v>
      </c>
      <c r="E15" s="17">
        <f>VLOOKUP(A15,'Source Readmission Final'!A:Q,8,FALSE)</f>
        <v>0.15590000000000001</v>
      </c>
      <c r="F15" s="17">
        <f>VLOOKUP(A15,'Source Readmission Final'!A:O,14,FALSE)</f>
        <v>0.15140000000000001</v>
      </c>
      <c r="G15" s="17">
        <f>VLOOKUP(A15,'Source Readmission Final'!A:Q,15,FALSE)</f>
        <v>-2.8899999999999999E-2</v>
      </c>
      <c r="H15" s="17">
        <f>VLOOKUP(A15,'Source Readmission Final'!A:Q,17,FALSE)</f>
        <v>-0.25001899999999999</v>
      </c>
      <c r="I15" s="19">
        <f t="shared" si="0"/>
        <v>-0.14299999999999999</v>
      </c>
      <c r="J15" s="20">
        <f t="shared" si="1"/>
        <v>0.01</v>
      </c>
      <c r="K15" s="21">
        <f t="shared" si="2"/>
        <v>643633</v>
      </c>
      <c r="L15" s="17">
        <f>VLOOKUP(A15,'Readmit Attainment'!A:G,7,FALSE)</f>
        <v>0.15294489795918367</v>
      </c>
      <c r="M15" s="22">
        <f t="shared" si="3"/>
        <v>0.107</v>
      </c>
      <c r="N15" s="20">
        <f t="shared" si="4"/>
        <v>-0.02</v>
      </c>
      <c r="O15" s="21">
        <f t="shared" si="7"/>
        <v>-1287267</v>
      </c>
      <c r="P15" s="23">
        <f t="shared" si="5"/>
        <v>643633</v>
      </c>
      <c r="Q15" s="22">
        <f t="shared" si="6"/>
        <v>9.9999923619268245E-3</v>
      </c>
      <c r="R15" s="15" t="str">
        <f t="shared" si="8"/>
        <v>Imp</v>
      </c>
    </row>
    <row r="16" spans="1:21">
      <c r="A16" s="14">
        <v>210015</v>
      </c>
      <c r="B16" s="55" t="s">
        <v>219</v>
      </c>
      <c r="C16" s="16">
        <f>VLOOKUP(A16,'[7]Source Revenue'!$A:$D,4,FALSE)</f>
        <v>306898503.66418034</v>
      </c>
      <c r="D16" s="17">
        <f>VLOOKUP(A16,'Source Readmission Final'!A:Q,16,FALSE)</f>
        <v>-4.3299999999999998E-2</v>
      </c>
      <c r="E16" s="17">
        <f>VLOOKUP(A16,'Source Readmission Final'!A:Q,8,FALSE)</f>
        <v>0.12720000000000001</v>
      </c>
      <c r="F16" s="17">
        <f>VLOOKUP(A16,'Source Readmission Final'!A:O,14,FALSE)</f>
        <v>0.12509999999999999</v>
      </c>
      <c r="G16" s="17">
        <f>VLOOKUP(A16,'Source Readmission Final'!A:Q,15,FALSE)</f>
        <v>-1.6500000000000001E-2</v>
      </c>
      <c r="H16" s="17">
        <f>VLOOKUP(A16,'Source Readmission Final'!A:Q,17,FALSE)</f>
        <v>-5.9086E-2</v>
      </c>
      <c r="I16" s="19">
        <f t="shared" si="0"/>
        <v>-0.14299999999999999</v>
      </c>
      <c r="J16" s="20">
        <f t="shared" si="1"/>
        <v>-8.0000000000000002E-3</v>
      </c>
      <c r="K16" s="21">
        <f t="shared" si="2"/>
        <v>-2455188</v>
      </c>
      <c r="L16" s="17">
        <f>VLOOKUP(A16,'Readmit Attainment'!A:G,7,FALSE)</f>
        <v>0.12587762237762237</v>
      </c>
      <c r="M16" s="22">
        <f t="shared" si="3"/>
        <v>0.107</v>
      </c>
      <c r="N16" s="20">
        <f t="shared" si="4"/>
        <v>-0.02</v>
      </c>
      <c r="O16" s="21">
        <f t="shared" si="7"/>
        <v>-6137970</v>
      </c>
      <c r="P16" s="23">
        <f t="shared" si="5"/>
        <v>-2455188</v>
      </c>
      <c r="Q16" s="22">
        <f t="shared" si="6"/>
        <v>-7.9999999044848957E-3</v>
      </c>
      <c r="R16" s="15" t="str">
        <f t="shared" si="8"/>
        <v>Imp</v>
      </c>
    </row>
    <row r="17" spans="1:18" ht="30">
      <c r="A17" s="14">
        <v>210016</v>
      </c>
      <c r="B17" s="52" t="s">
        <v>127</v>
      </c>
      <c r="C17" s="16">
        <f>VLOOKUP(A17,'[7]Source Revenue'!$A:$D,4,FALSE)</f>
        <v>164197283.45611724</v>
      </c>
      <c r="D17" s="17">
        <f>VLOOKUP(A17,'Source Readmission Final'!A:Q,16,FALSE)</f>
        <v>-0.1077</v>
      </c>
      <c r="E17" s="17">
        <f>VLOOKUP(A17,'Source Readmission Final'!A:Q,8,FALSE)</f>
        <v>0.1038</v>
      </c>
      <c r="F17" s="17">
        <f>VLOOKUP(A17,'Source Readmission Final'!A:O,14,FALSE)</f>
        <v>9.7600000000000006E-2</v>
      </c>
      <c r="G17" s="17">
        <f>VLOOKUP(A17,'Source Readmission Final'!A:Q,15,FALSE)</f>
        <v>-5.9700000000000003E-2</v>
      </c>
      <c r="H17" s="17">
        <f>VLOOKUP(A17,'Source Readmission Final'!A:Q,17,FALSE)</f>
        <v>-0.16097</v>
      </c>
      <c r="I17" s="19">
        <f t="shared" si="0"/>
        <v>-0.14299999999999999</v>
      </c>
      <c r="J17" s="20">
        <f t="shared" si="1"/>
        <v>1.6999999999999999E-3</v>
      </c>
      <c r="K17" s="21">
        <f t="shared" si="2"/>
        <v>279135</v>
      </c>
      <c r="L17" s="17">
        <f>VLOOKUP(A17,'Readmit Attainment'!A:G,7,FALSE)</f>
        <v>0.11003018867924529</v>
      </c>
      <c r="M17" s="22">
        <f t="shared" si="3"/>
        <v>0.107</v>
      </c>
      <c r="N17" s="20">
        <f t="shared" si="4"/>
        <v>-6.1000000000000004E-3</v>
      </c>
      <c r="O17" s="21">
        <f t="shared" si="7"/>
        <v>-1001603</v>
      </c>
      <c r="P17" s="23">
        <f t="shared" si="5"/>
        <v>279135</v>
      </c>
      <c r="Q17" s="22">
        <f t="shared" si="6"/>
        <v>1.6999976742891765E-3</v>
      </c>
      <c r="R17" s="52" t="str">
        <f t="shared" si="8"/>
        <v>Imp</v>
      </c>
    </row>
    <row r="18" spans="1:18">
      <c r="A18" s="14">
        <v>210017</v>
      </c>
      <c r="B18" s="55" t="s">
        <v>220</v>
      </c>
      <c r="C18" s="16">
        <f>VLOOKUP(A18,'[7]Source Revenue'!$A:$D,4,FALSE)</f>
        <v>23714399.770658769</v>
      </c>
      <c r="D18" s="17">
        <f>VLOOKUP(A18,'Source Readmission Final'!A:Q,16,FALSE)</f>
        <v>-0.1719</v>
      </c>
      <c r="E18" s="17">
        <f>VLOOKUP(A18,'Source Readmission Final'!A:Q,8,FALSE)</f>
        <v>5.8700000000000002E-2</v>
      </c>
      <c r="F18" s="17">
        <f>VLOOKUP(A18,'Source Readmission Final'!A:O,14,FALSE)</f>
        <v>6.7500000000000004E-2</v>
      </c>
      <c r="G18" s="17">
        <f>VLOOKUP(A18,'Source Readmission Final'!A:Q,15,FALSE)</f>
        <v>0.14990000000000001</v>
      </c>
      <c r="H18" s="17">
        <f>VLOOKUP(A18,'Source Readmission Final'!A:Q,17,FALSE)</f>
        <v>-4.7767999999999998E-2</v>
      </c>
      <c r="I18" s="19">
        <f t="shared" si="0"/>
        <v>-0.14299999999999999</v>
      </c>
      <c r="J18" s="20">
        <f t="shared" si="1"/>
        <v>-9.1000000000000004E-3</v>
      </c>
      <c r="K18" s="21">
        <f t="shared" si="2"/>
        <v>-215801</v>
      </c>
      <c r="L18" s="17">
        <f>VLOOKUP(A18,'Readmit Attainment'!A:G,7,FALSE)</f>
        <v>0.11433673469387756</v>
      </c>
      <c r="M18" s="22">
        <f t="shared" si="3"/>
        <v>0.107</v>
      </c>
      <c r="N18" s="20">
        <f t="shared" si="4"/>
        <v>-1.47E-2</v>
      </c>
      <c r="O18" s="21">
        <f t="shared" si="7"/>
        <v>-348602</v>
      </c>
      <c r="P18" s="23">
        <f t="shared" si="5"/>
        <v>-215801</v>
      </c>
      <c r="Q18" s="22">
        <f t="shared" si="6"/>
        <v>-9.0999984012669448E-3</v>
      </c>
      <c r="R18" s="15" t="str">
        <f t="shared" si="8"/>
        <v>Imp</v>
      </c>
    </row>
    <row r="19" spans="1:18">
      <c r="A19" s="14">
        <v>210018</v>
      </c>
      <c r="B19" s="55" t="s">
        <v>221</v>
      </c>
      <c r="C19" s="16">
        <f>VLOOKUP(A19,'[7]Source Revenue'!$A:$D,4,FALSE)</f>
        <v>84721645.338150024</v>
      </c>
      <c r="D19" s="17">
        <f>VLOOKUP(A19,'Source Readmission Final'!A:Q,16,FALSE)</f>
        <v>-0.14219999999999999</v>
      </c>
      <c r="E19" s="17">
        <f>VLOOKUP(A19,'Source Readmission Final'!A:Q,8,FALSE)</f>
        <v>0.1082</v>
      </c>
      <c r="F19" s="17">
        <f>VLOOKUP(A19,'Source Readmission Final'!A:O,14,FALSE)</f>
        <v>0.1065</v>
      </c>
      <c r="G19" s="17">
        <f>VLOOKUP(A19,'Source Readmission Final'!A:Q,15,FALSE)</f>
        <v>-1.5699999999999999E-2</v>
      </c>
      <c r="H19" s="17">
        <f>VLOOKUP(A19,'Source Readmission Final'!A:Q,17,FALSE)</f>
        <v>-0.155667</v>
      </c>
      <c r="I19" s="19">
        <f t="shared" si="0"/>
        <v>-0.14299999999999999</v>
      </c>
      <c r="J19" s="20">
        <f t="shared" si="1"/>
        <v>1.1999999999999999E-3</v>
      </c>
      <c r="K19" s="21">
        <f t="shared" si="2"/>
        <v>101666</v>
      </c>
      <c r="L19" s="17">
        <f>VLOOKUP(A19,'Readmit Attainment'!A:G,7,FALSE)</f>
        <v>0.11763135593220339</v>
      </c>
      <c r="M19" s="22">
        <f t="shared" si="3"/>
        <v>0.107</v>
      </c>
      <c r="N19" s="20">
        <f t="shared" si="4"/>
        <v>-0.02</v>
      </c>
      <c r="O19" s="21">
        <f t="shared" si="7"/>
        <v>-1694433</v>
      </c>
      <c r="P19" s="23">
        <f t="shared" si="5"/>
        <v>101666</v>
      </c>
      <c r="Q19" s="22">
        <f t="shared" si="6"/>
        <v>1.2000003020977681E-3</v>
      </c>
      <c r="R19" s="15" t="str">
        <f t="shared" si="8"/>
        <v>Imp</v>
      </c>
    </row>
    <row r="20" spans="1:18">
      <c r="A20" s="14">
        <v>210019</v>
      </c>
      <c r="B20" s="55" t="s">
        <v>222</v>
      </c>
      <c r="C20" s="16">
        <f>VLOOKUP(A20,'[7]Source Revenue'!$A:$D,4,FALSE)</f>
        <v>249228263.69537243</v>
      </c>
      <c r="D20" s="17">
        <f>VLOOKUP(A20,'Source Readmission Final'!A:Q,16,FALSE)</f>
        <v>-5.2600000000000001E-2</v>
      </c>
      <c r="E20" s="17">
        <f>VLOOKUP(A20,'Source Readmission Final'!A:Q,8,FALSE)</f>
        <v>0.10630000000000001</v>
      </c>
      <c r="F20" s="17">
        <f>VLOOKUP(A20,'Source Readmission Final'!A:O,14,FALSE)</f>
        <v>0.10630000000000001</v>
      </c>
      <c r="G20" s="17">
        <f>VLOOKUP(A20,'Source Readmission Final'!A:Q,15,FALSE)</f>
        <v>0</v>
      </c>
      <c r="H20" s="17">
        <f>VLOOKUP(A20,'Source Readmission Final'!A:Q,17,FALSE)</f>
        <v>-5.2600000000000001E-2</v>
      </c>
      <c r="I20" s="19">
        <f t="shared" si="0"/>
        <v>-0.14299999999999999</v>
      </c>
      <c r="J20" s="20">
        <f t="shared" si="1"/>
        <v>-8.6E-3</v>
      </c>
      <c r="K20" s="21">
        <f t="shared" si="2"/>
        <v>-2143363</v>
      </c>
      <c r="L20" s="17">
        <f>VLOOKUP(A20,'Readmit Attainment'!A:G,7,FALSE)</f>
        <v>0.11254109848484847</v>
      </c>
      <c r="M20" s="22">
        <f t="shared" si="3"/>
        <v>0.107</v>
      </c>
      <c r="N20" s="20">
        <f t="shared" si="4"/>
        <v>-1.11E-2</v>
      </c>
      <c r="O20" s="21">
        <f t="shared" si="7"/>
        <v>-2766434</v>
      </c>
      <c r="P20" s="23">
        <f t="shared" si="5"/>
        <v>-2143363</v>
      </c>
      <c r="Q20" s="22">
        <f t="shared" si="6"/>
        <v>-8.5999997280396621E-3</v>
      </c>
      <c r="R20" s="15" t="str">
        <f t="shared" si="8"/>
        <v>Imp</v>
      </c>
    </row>
    <row r="21" spans="1:18">
      <c r="A21" s="14">
        <v>210022</v>
      </c>
      <c r="B21" s="55" t="s">
        <v>49</v>
      </c>
      <c r="C21" s="16">
        <f>VLOOKUP(A21,'[7]Source Revenue'!$A:$D,4,FALSE)</f>
        <v>208954270.03806505</v>
      </c>
      <c r="D21" s="17">
        <f>VLOOKUP(A21,'Source Readmission Final'!A:Q,16,FALSE)</f>
        <v>-1.9699999999999999E-2</v>
      </c>
      <c r="E21" s="17">
        <f>VLOOKUP(A21,'Source Readmission Final'!A:Q,8,FALSE)</f>
        <v>0.11219999999999999</v>
      </c>
      <c r="F21" s="17">
        <f>VLOOKUP(A21,'Source Readmission Final'!A:O,14,FALSE)</f>
        <v>0.10340000000000001</v>
      </c>
      <c r="G21" s="17">
        <f>VLOOKUP(A21,'Source Readmission Final'!A:Q,15,FALSE)</f>
        <v>-7.8399999999999997E-2</v>
      </c>
      <c r="H21" s="17">
        <f>VLOOKUP(A21,'Source Readmission Final'!A:Q,17,FALSE)</f>
        <v>-9.6556000000000003E-2</v>
      </c>
      <c r="I21" s="19">
        <f t="shared" si="0"/>
        <v>-0.14299999999999999</v>
      </c>
      <c r="J21" s="20">
        <f t="shared" si="1"/>
        <v>-4.4000000000000003E-3</v>
      </c>
      <c r="K21" s="21">
        <f t="shared" si="2"/>
        <v>-919399</v>
      </c>
      <c r="L21" s="17">
        <f>VLOOKUP(A21,'Readmit Attainment'!A:G,7,FALSE)</f>
        <v>0.11378721461187216</v>
      </c>
      <c r="M21" s="22">
        <f t="shared" si="3"/>
        <v>0.107</v>
      </c>
      <c r="N21" s="20">
        <f t="shared" si="4"/>
        <v>-1.3599999999999999E-2</v>
      </c>
      <c r="O21" s="21">
        <f t="shared" si="7"/>
        <v>-2841778</v>
      </c>
      <c r="P21" s="23">
        <f t="shared" si="5"/>
        <v>-919399</v>
      </c>
      <c r="Q21" s="22">
        <f t="shared" si="6"/>
        <v>-4.4000010137745151E-3</v>
      </c>
      <c r="R21" s="15" t="str">
        <f t="shared" si="8"/>
        <v>Imp</v>
      </c>
    </row>
    <row r="22" spans="1:18">
      <c r="A22" s="14">
        <v>210023</v>
      </c>
      <c r="B22" s="55" t="s">
        <v>223</v>
      </c>
      <c r="C22" s="16">
        <f>VLOOKUP(A22,'[7]Source Revenue'!$A:$D,4,FALSE)</f>
        <v>294544505.55355853</v>
      </c>
      <c r="D22" s="17">
        <f>VLOOKUP(A22,'Source Readmission Final'!A:Q,16,FALSE)</f>
        <v>-9.5000000000000001E-2</v>
      </c>
      <c r="E22" s="17">
        <f>VLOOKUP(A22,'Source Readmission Final'!A:Q,8,FALSE)</f>
        <v>0.1123</v>
      </c>
      <c r="F22" s="17">
        <f>VLOOKUP(A22,'Source Readmission Final'!A:O,14,FALSE)</f>
        <v>0.1118</v>
      </c>
      <c r="G22" s="17">
        <f>VLOOKUP(A22,'Source Readmission Final'!A:Q,15,FALSE)</f>
        <v>-4.4999999999999997E-3</v>
      </c>
      <c r="H22" s="17">
        <f>VLOOKUP(A22,'Source Readmission Final'!A:Q,17,FALSE)</f>
        <v>-9.9071999999999993E-2</v>
      </c>
      <c r="I22" s="19">
        <f t="shared" si="0"/>
        <v>-0.14299999999999999</v>
      </c>
      <c r="J22" s="20">
        <f t="shared" si="1"/>
        <v>-4.1999999999999997E-3</v>
      </c>
      <c r="K22" s="21">
        <f t="shared" si="2"/>
        <v>-1237087</v>
      </c>
      <c r="L22" s="17">
        <f>VLOOKUP(A22,'Readmit Attainment'!A:G,7,FALSE)</f>
        <v>0.11607261146496815</v>
      </c>
      <c r="M22" s="22">
        <f t="shared" si="3"/>
        <v>0.107</v>
      </c>
      <c r="N22" s="20">
        <f t="shared" si="4"/>
        <v>-1.8100000000000002E-2</v>
      </c>
      <c r="O22" s="21">
        <f t="shared" si="7"/>
        <v>-5331256</v>
      </c>
      <c r="P22" s="23">
        <f t="shared" si="5"/>
        <v>-1237087</v>
      </c>
      <c r="Q22" s="22">
        <f t="shared" si="6"/>
        <v>-4.2000002603173811E-3</v>
      </c>
      <c r="R22" s="15" t="str">
        <f t="shared" si="8"/>
        <v>Imp</v>
      </c>
    </row>
    <row r="23" spans="1:18">
      <c r="A23" s="14">
        <v>210024</v>
      </c>
      <c r="B23" s="55" t="s">
        <v>224</v>
      </c>
      <c r="C23" s="16">
        <f>VLOOKUP(A23,'[7]Source Revenue'!$A:$D,4,FALSE)</f>
        <v>243156678.61103633</v>
      </c>
      <c r="D23" s="17">
        <f>VLOOKUP(A23,'Source Readmission Final'!A:Q,16,FALSE)</f>
        <v>-0.14560000000000001</v>
      </c>
      <c r="E23" s="17">
        <f>VLOOKUP(A23,'Source Readmission Final'!A:Q,8,FALSE)</f>
        <v>0.1275</v>
      </c>
      <c r="F23" s="17">
        <f>VLOOKUP(A23,'Source Readmission Final'!A:O,14,FALSE)</f>
        <v>0.1176</v>
      </c>
      <c r="G23" s="17">
        <f>VLOOKUP(A23,'Source Readmission Final'!A:Q,15,FALSE)</f>
        <v>-7.7600000000000002E-2</v>
      </c>
      <c r="H23" s="17">
        <f>VLOOKUP(A23,'Source Readmission Final'!A:Q,17,FALSE)</f>
        <v>-0.21190100000000001</v>
      </c>
      <c r="I23" s="19">
        <f t="shared" si="0"/>
        <v>-0.14299999999999999</v>
      </c>
      <c r="J23" s="20">
        <f t="shared" si="1"/>
        <v>6.6E-3</v>
      </c>
      <c r="K23" s="21">
        <f t="shared" si="2"/>
        <v>1604834</v>
      </c>
      <c r="L23" s="17">
        <f>VLOOKUP(A23,'Readmit Attainment'!A:G,7,FALSE)</f>
        <v>0.12039050847457627</v>
      </c>
      <c r="M23" s="22">
        <f t="shared" si="3"/>
        <v>0.107</v>
      </c>
      <c r="N23" s="20">
        <f t="shared" si="4"/>
        <v>-0.02</v>
      </c>
      <c r="O23" s="21">
        <f t="shared" si="7"/>
        <v>-4863134</v>
      </c>
      <c r="P23" s="23">
        <f t="shared" si="5"/>
        <v>1604834</v>
      </c>
      <c r="Q23" s="22">
        <f t="shared" si="6"/>
        <v>6.5999996757940592E-3</v>
      </c>
      <c r="R23" s="15" t="str">
        <f t="shared" si="8"/>
        <v>Imp</v>
      </c>
    </row>
    <row r="24" spans="1:18">
      <c r="A24" s="14">
        <v>210027</v>
      </c>
      <c r="B24" s="55" t="s">
        <v>213</v>
      </c>
      <c r="C24" s="16">
        <f>VLOOKUP(A24,'[7]Source Revenue'!$A:$D,4,FALSE)</f>
        <v>169461999.97392026</v>
      </c>
      <c r="D24" s="17">
        <f>VLOOKUP(A24,'Source Readmission Final'!A:Q,16,FALSE)</f>
        <v>-9.7500000000000003E-2</v>
      </c>
      <c r="E24" s="17">
        <f>VLOOKUP(A24,'Source Readmission Final'!A:Q,8,FALSE)</f>
        <v>0.1128</v>
      </c>
      <c r="F24" s="17">
        <f>VLOOKUP(A24,'Source Readmission Final'!A:O,14,FALSE)</f>
        <v>0.1022</v>
      </c>
      <c r="G24" s="17">
        <f>VLOOKUP(A24,'Source Readmission Final'!A:Q,15,FALSE)</f>
        <v>-9.4E-2</v>
      </c>
      <c r="H24" s="17">
        <f>VLOOKUP(A24,'Source Readmission Final'!A:Q,17,FALSE)</f>
        <v>-0.182335</v>
      </c>
      <c r="I24" s="19">
        <f t="shared" si="0"/>
        <v>-0.14299999999999999</v>
      </c>
      <c r="J24" s="20">
        <f t="shared" si="1"/>
        <v>3.7000000000000002E-3</v>
      </c>
      <c r="K24" s="21">
        <f t="shared" si="2"/>
        <v>627009</v>
      </c>
      <c r="L24" s="17">
        <f>VLOOKUP(A24,'Readmit Attainment'!A:G,7,FALSE)</f>
        <v>0.11463382789317508</v>
      </c>
      <c r="M24" s="22">
        <f t="shared" si="3"/>
        <v>0.107</v>
      </c>
      <c r="N24" s="20">
        <f t="shared" si="4"/>
        <v>-1.5299999999999999E-2</v>
      </c>
      <c r="O24" s="21">
        <f t="shared" si="7"/>
        <v>-2592769</v>
      </c>
      <c r="P24" s="23">
        <f t="shared" si="5"/>
        <v>627009</v>
      </c>
      <c r="Q24" s="22">
        <f t="shared" si="6"/>
        <v>3.6999976401582359E-3</v>
      </c>
      <c r="R24" s="15" t="str">
        <f t="shared" si="8"/>
        <v>Imp</v>
      </c>
    </row>
    <row r="25" spans="1:18">
      <c r="A25" s="14">
        <v>210028</v>
      </c>
      <c r="B25" s="55" t="s">
        <v>225</v>
      </c>
      <c r="C25" s="16">
        <f>VLOOKUP(A25,'[7]Source Revenue'!$A:$D,4,FALSE)</f>
        <v>79141046.240058914</v>
      </c>
      <c r="D25" s="17">
        <f>VLOOKUP(A25,'Source Readmission Final'!A:Q,16,FALSE)</f>
        <v>-0.16389999999999999</v>
      </c>
      <c r="E25" s="17">
        <f>VLOOKUP(A25,'Source Readmission Final'!A:Q,8,FALSE)</f>
        <v>0.108</v>
      </c>
      <c r="F25" s="17">
        <f>VLOOKUP(A25,'Source Readmission Final'!A:O,14,FALSE)</f>
        <v>0.1067</v>
      </c>
      <c r="G25" s="17">
        <f>VLOOKUP(A25,'Source Readmission Final'!A:Q,15,FALSE)</f>
        <v>-1.2E-2</v>
      </c>
      <c r="H25" s="17">
        <f>VLOOKUP(A25,'Source Readmission Final'!A:Q,17,FALSE)</f>
        <v>-0.173933</v>
      </c>
      <c r="I25" s="19">
        <f t="shared" si="0"/>
        <v>-0.14299999999999999</v>
      </c>
      <c r="J25" s="20">
        <f t="shared" si="1"/>
        <v>2.8999999999999998E-3</v>
      </c>
      <c r="K25" s="21">
        <f t="shared" si="2"/>
        <v>229509</v>
      </c>
      <c r="L25" s="17">
        <f>VLOOKUP(A25,'Readmit Attainment'!A:G,7,FALSE)</f>
        <v>0.12423972602739726</v>
      </c>
      <c r="M25" s="22">
        <f t="shared" si="3"/>
        <v>0.107</v>
      </c>
      <c r="N25" s="20">
        <f t="shared" si="4"/>
        <v>-0.02</v>
      </c>
      <c r="O25" s="21">
        <f t="shared" si="7"/>
        <v>-1582821</v>
      </c>
      <c r="P25" s="23">
        <f t="shared" si="5"/>
        <v>229509</v>
      </c>
      <c r="Q25" s="22">
        <f t="shared" si="6"/>
        <v>2.8999995691720987E-3</v>
      </c>
      <c r="R25" s="15" t="str">
        <f t="shared" si="8"/>
        <v>Imp</v>
      </c>
    </row>
    <row r="26" spans="1:18">
      <c r="A26" s="14">
        <v>210029</v>
      </c>
      <c r="B26" s="55" t="s">
        <v>215</v>
      </c>
      <c r="C26" s="16">
        <f>VLOOKUP(A26,'[7]Source Revenue'!$A:$D,4,FALSE)</f>
        <v>366607627.05097502</v>
      </c>
      <c r="D26" s="17">
        <f>VLOOKUP(A26,'Source Readmission Final'!A:Q,16,FALSE)</f>
        <v>-7.2499999999999995E-2</v>
      </c>
      <c r="E26" s="17">
        <f>VLOOKUP(A26,'Source Readmission Final'!A:Q,8,FALSE)</f>
        <v>0.14349999999999999</v>
      </c>
      <c r="F26" s="17">
        <f>VLOOKUP(A26,'Source Readmission Final'!A:O,14,FALSE)</f>
        <v>0.13420000000000001</v>
      </c>
      <c r="G26" s="17">
        <f>VLOOKUP(A26,'Source Readmission Final'!A:Q,15,FALSE)</f>
        <v>-6.4799999999999996E-2</v>
      </c>
      <c r="H26" s="17">
        <f>VLOOKUP(A26,'Source Readmission Final'!A:Q,17,FALSE)</f>
        <v>-0.132602</v>
      </c>
      <c r="I26" s="19">
        <f t="shared" si="0"/>
        <v>-0.14299999999999999</v>
      </c>
      <c r="J26" s="20">
        <f t="shared" si="1"/>
        <v>-1E-3</v>
      </c>
      <c r="K26" s="21">
        <f t="shared" si="2"/>
        <v>-366608</v>
      </c>
      <c r="L26" s="17">
        <f>VLOOKUP(A26,'Readmit Attainment'!A:G,7,FALSE)</f>
        <v>0.13656624685138541</v>
      </c>
      <c r="M26" s="22">
        <f t="shared" si="3"/>
        <v>0.107</v>
      </c>
      <c r="N26" s="20">
        <f t="shared" si="4"/>
        <v>-0.02</v>
      </c>
      <c r="O26" s="21">
        <f t="shared" si="7"/>
        <v>-7332153</v>
      </c>
      <c r="P26" s="23">
        <f t="shared" si="5"/>
        <v>-366608</v>
      </c>
      <c r="Q26" s="22">
        <f t="shared" si="6"/>
        <v>-1.0000010172975069E-3</v>
      </c>
      <c r="R26" s="15" t="str">
        <f t="shared" si="8"/>
        <v>Imp</v>
      </c>
    </row>
    <row r="27" spans="1:18">
      <c r="A27" s="14">
        <v>210030</v>
      </c>
      <c r="B27" s="55" t="s">
        <v>226</v>
      </c>
      <c r="C27" s="16">
        <f>VLOOKUP(A27,'[7]Source Revenue'!$A:$D,4,FALSE)</f>
        <v>17859941.771094728</v>
      </c>
      <c r="D27" s="17">
        <f>VLOOKUP(A27,'Source Readmission Final'!A:Q,16,FALSE)</f>
        <v>3.7100000000000001E-2</v>
      </c>
      <c r="E27" s="17">
        <f>VLOOKUP(A27,'Source Readmission Final'!A:Q,8,FALSE)</f>
        <v>0.14000000000000001</v>
      </c>
      <c r="F27" s="17">
        <f>VLOOKUP(A27,'Source Readmission Final'!A:O,14,FALSE)</f>
        <v>6.9900000000000004E-2</v>
      </c>
      <c r="G27" s="17">
        <f>VLOOKUP(A27,'Source Readmission Final'!A:Q,15,FALSE)</f>
        <v>-0.50070000000000003</v>
      </c>
      <c r="H27" s="17">
        <f>VLOOKUP(A27,'Source Readmission Final'!A:Q,17,FALSE)</f>
        <v>-0.48217599999999999</v>
      </c>
      <c r="I27" s="19">
        <f t="shared" si="0"/>
        <v>-0.14299999999999999</v>
      </c>
      <c r="J27" s="20">
        <f t="shared" si="1"/>
        <v>0.01</v>
      </c>
      <c r="K27" s="21">
        <f t="shared" si="2"/>
        <v>178599</v>
      </c>
      <c r="L27" s="17">
        <f>VLOOKUP(A27,'Readmit Attainment'!A:G,7,FALSE)</f>
        <v>7.8336206896551727E-2</v>
      </c>
      <c r="M27" s="22">
        <f t="shared" si="3"/>
        <v>0.107</v>
      </c>
      <c r="N27" s="20">
        <f t="shared" si="4"/>
        <v>0.01</v>
      </c>
      <c r="O27" s="21">
        <f t="shared" si="7"/>
        <v>178599</v>
      </c>
      <c r="P27" s="23">
        <f t="shared" si="5"/>
        <v>178599</v>
      </c>
      <c r="Q27" s="22">
        <f t="shared" si="6"/>
        <v>9.9999766118527914E-3</v>
      </c>
      <c r="R27" s="15" t="str">
        <f t="shared" si="8"/>
        <v>Att</v>
      </c>
    </row>
    <row r="28" spans="1:18">
      <c r="A28" s="14">
        <v>210032</v>
      </c>
      <c r="B28" s="55" t="s">
        <v>227</v>
      </c>
      <c r="C28" s="16">
        <f>VLOOKUP(A28,'[7]Source Revenue'!$A:$D,4,FALSE)</f>
        <v>65426886.884278983</v>
      </c>
      <c r="D28" s="17">
        <f>VLOOKUP(A28,'Source Readmission Final'!A:Q,16,FALSE)</f>
        <v>4.2900000000000001E-2</v>
      </c>
      <c r="E28" s="17">
        <f>VLOOKUP(A28,'Source Readmission Final'!A:Q,8,FALSE)</f>
        <v>0.1043</v>
      </c>
      <c r="F28" s="17">
        <f>VLOOKUP(A28,'Source Readmission Final'!A:O,14,FALSE)</f>
        <v>0.10290000000000001</v>
      </c>
      <c r="G28" s="17">
        <f>VLOOKUP(A28,'Source Readmission Final'!A:Q,15,FALSE)</f>
        <v>-1.34E-2</v>
      </c>
      <c r="H28" s="17">
        <f>VLOOKUP(A28,'Source Readmission Final'!A:Q,17,FALSE)</f>
        <v>2.8925099999999999E-2</v>
      </c>
      <c r="I28" s="19">
        <f t="shared" si="0"/>
        <v>-0.14299999999999999</v>
      </c>
      <c r="J28" s="20">
        <f t="shared" si="1"/>
        <v>-1.6400000000000001E-2</v>
      </c>
      <c r="K28" s="21">
        <f t="shared" si="2"/>
        <v>-1073001</v>
      </c>
      <c r="L28" s="17">
        <f>VLOOKUP(A28,'Readmit Attainment'!A:G,7,FALSE)</f>
        <v>0.13192307692307695</v>
      </c>
      <c r="M28" s="22">
        <f t="shared" si="3"/>
        <v>0.107</v>
      </c>
      <c r="N28" s="20">
        <f t="shared" si="4"/>
        <v>-0.02</v>
      </c>
      <c r="O28" s="21">
        <f t="shared" si="7"/>
        <v>-1308538</v>
      </c>
      <c r="P28" s="23">
        <f t="shared" si="5"/>
        <v>-1073001</v>
      </c>
      <c r="Q28" s="22">
        <f t="shared" si="6"/>
        <v>-1.6400000842128174E-2</v>
      </c>
      <c r="R28" s="15" t="str">
        <f t="shared" si="8"/>
        <v>Imp</v>
      </c>
    </row>
    <row r="29" spans="1:18">
      <c r="A29" s="14">
        <v>210033</v>
      </c>
      <c r="B29" s="55" t="s">
        <v>228</v>
      </c>
      <c r="C29" s="16">
        <f>VLOOKUP(A29,'[7]Source Revenue'!$A:$D,4,FALSE)</f>
        <v>140291848.95110157</v>
      </c>
      <c r="D29" s="17">
        <f>VLOOKUP(A29,'Source Readmission Final'!A:Q,16,FALSE)</f>
        <v>-8.6199999999999999E-2</v>
      </c>
      <c r="E29" s="17">
        <f>VLOOKUP(A29,'Source Readmission Final'!A:Q,8,FALSE)</f>
        <v>0.1128</v>
      </c>
      <c r="F29" s="17">
        <f>VLOOKUP(A29,'Source Readmission Final'!A:O,14,FALSE)</f>
        <v>0.112</v>
      </c>
      <c r="G29" s="17">
        <f>VLOOKUP(A29,'Source Readmission Final'!A:Q,15,FALSE)</f>
        <v>-7.1000000000000004E-3</v>
      </c>
      <c r="H29" s="17">
        <f>VLOOKUP(A29,'Source Readmission Final'!A:Q,17,FALSE)</f>
        <v>-9.2688000000000006E-2</v>
      </c>
      <c r="I29" s="19">
        <f t="shared" si="0"/>
        <v>-0.14299999999999999</v>
      </c>
      <c r="J29" s="20">
        <f t="shared" si="1"/>
        <v>-4.7999999999999996E-3</v>
      </c>
      <c r="K29" s="21">
        <f t="shared" si="2"/>
        <v>-673401</v>
      </c>
      <c r="L29" s="17">
        <f>VLOOKUP(A29,'Readmit Attainment'!A:G,7,FALSE)</f>
        <v>0.11654736842105264</v>
      </c>
      <c r="M29" s="22">
        <f t="shared" si="3"/>
        <v>0.107</v>
      </c>
      <c r="N29" s="20">
        <f t="shared" si="4"/>
        <v>-1.9099999999999999E-2</v>
      </c>
      <c r="O29" s="21">
        <f t="shared" si="7"/>
        <v>-2679574</v>
      </c>
      <c r="P29" s="23">
        <f t="shared" si="5"/>
        <v>-673401</v>
      </c>
      <c r="Q29" s="22">
        <f t="shared" si="6"/>
        <v>-4.8000008912471633E-3</v>
      </c>
      <c r="R29" s="15" t="str">
        <f t="shared" si="8"/>
        <v>Imp</v>
      </c>
    </row>
    <row r="30" spans="1:18">
      <c r="A30" s="14">
        <v>210034</v>
      </c>
      <c r="B30" s="55" t="s">
        <v>229</v>
      </c>
      <c r="C30" s="16">
        <f>VLOOKUP(A30,'[7]Source Revenue'!$A:$D,4,FALSE)</f>
        <v>110392040.46307562</v>
      </c>
      <c r="D30" s="17">
        <f>VLOOKUP(A30,'Source Readmission Final'!A:Q,16,FALSE)</f>
        <v>-6.7599999999999993E-2</v>
      </c>
      <c r="E30" s="17">
        <f>VLOOKUP(A30,'Source Readmission Final'!A:Q,8,FALSE)</f>
        <v>0.12139999999999999</v>
      </c>
      <c r="F30" s="17">
        <f>VLOOKUP(A30,'Source Readmission Final'!A:O,14,FALSE)</f>
        <v>0.13469999999999999</v>
      </c>
      <c r="G30" s="17">
        <f>VLOOKUP(A30,'Source Readmission Final'!A:Q,15,FALSE)</f>
        <v>0.1096</v>
      </c>
      <c r="H30" s="17">
        <f>VLOOKUP(A30,'Source Readmission Final'!A:Q,17,FALSE)</f>
        <v>3.4590999999999997E-2</v>
      </c>
      <c r="I30" s="19">
        <f t="shared" si="0"/>
        <v>-0.14299999999999999</v>
      </c>
      <c r="J30" s="20">
        <f t="shared" si="1"/>
        <v>-1.6899999999999998E-2</v>
      </c>
      <c r="K30" s="21">
        <f t="shared" si="2"/>
        <v>-1865625</v>
      </c>
      <c r="L30" s="17">
        <f>VLOOKUP(A30,'Readmit Attainment'!A:G,7,FALSE)</f>
        <v>0.13664092219020171</v>
      </c>
      <c r="M30" s="22">
        <f t="shared" si="3"/>
        <v>0.107</v>
      </c>
      <c r="N30" s="20">
        <f t="shared" si="4"/>
        <v>-0.02</v>
      </c>
      <c r="O30" s="21">
        <f t="shared" si="7"/>
        <v>-2207841</v>
      </c>
      <c r="P30" s="23">
        <f t="shared" si="5"/>
        <v>-1865625</v>
      </c>
      <c r="Q30" s="22">
        <f t="shared" si="6"/>
        <v>-1.6899995617202328E-2</v>
      </c>
      <c r="R30" s="15" t="str">
        <f t="shared" si="8"/>
        <v>Imp</v>
      </c>
    </row>
    <row r="31" spans="1:18">
      <c r="A31" s="14">
        <v>210035</v>
      </c>
      <c r="B31" s="55" t="s">
        <v>230</v>
      </c>
      <c r="C31" s="16">
        <f>VLOOKUP(A31,'[7]Source Revenue'!$A:$D,4,FALSE)</f>
        <v>76930098.256048933</v>
      </c>
      <c r="D31" s="17">
        <f>VLOOKUP(A31,'Source Readmission Final'!A:Q,16,FALSE)</f>
        <v>-0.19</v>
      </c>
      <c r="E31" s="17">
        <f>VLOOKUP(A31,'Source Readmission Final'!A:Q,8,FALSE)</f>
        <v>9.8000000000000004E-2</v>
      </c>
      <c r="F31" s="17">
        <f>VLOOKUP(A31,'Source Readmission Final'!A:O,14,FALSE)</f>
        <v>9.8500000000000004E-2</v>
      </c>
      <c r="G31" s="17">
        <f>VLOOKUP(A31,'Source Readmission Final'!A:Q,15,FALSE)</f>
        <v>5.1000000000000004E-3</v>
      </c>
      <c r="H31" s="17">
        <f>VLOOKUP(A31,'Source Readmission Final'!A:Q,17,FALSE)</f>
        <v>-0.18586900000000001</v>
      </c>
      <c r="I31" s="19">
        <f t="shared" si="0"/>
        <v>-0.14299999999999999</v>
      </c>
      <c r="J31" s="20">
        <f t="shared" si="1"/>
        <v>4.1000000000000003E-3</v>
      </c>
      <c r="K31" s="21">
        <f t="shared" si="2"/>
        <v>315413</v>
      </c>
      <c r="L31" s="17">
        <f>VLOOKUP(A31,'Readmit Attainment'!A:G,7,FALSE)</f>
        <v>0.11244942196531793</v>
      </c>
      <c r="M31" s="22">
        <f t="shared" si="3"/>
        <v>0.107</v>
      </c>
      <c r="N31" s="20">
        <f t="shared" si="4"/>
        <v>-1.09E-2</v>
      </c>
      <c r="O31" s="21">
        <f t="shared" si="7"/>
        <v>-838538</v>
      </c>
      <c r="P31" s="23">
        <f t="shared" si="5"/>
        <v>315413</v>
      </c>
      <c r="Q31" s="22">
        <f t="shared" si="6"/>
        <v>4.0999947634305723E-3</v>
      </c>
      <c r="R31" s="15" t="str">
        <f t="shared" si="8"/>
        <v>Imp</v>
      </c>
    </row>
    <row r="32" spans="1:18">
      <c r="A32" s="14">
        <v>210037</v>
      </c>
      <c r="B32" s="55" t="s">
        <v>231</v>
      </c>
      <c r="C32" s="16">
        <f>VLOOKUP(A32,'[7]Source Revenue'!$A:$D,4,FALSE)</f>
        <v>103481053.23549819</v>
      </c>
      <c r="D32" s="17">
        <f>VLOOKUP(A32,'Source Readmission Final'!A:Q,16,FALSE)</f>
        <v>2.3699999999999999E-2</v>
      </c>
      <c r="E32" s="17">
        <f>VLOOKUP(A32,'Source Readmission Final'!A:Q,8,FALSE)</f>
        <v>0.1087</v>
      </c>
      <c r="F32" s="17">
        <f>VLOOKUP(A32,'Source Readmission Final'!A:O,14,FALSE)</f>
        <v>8.6999999999999994E-2</v>
      </c>
      <c r="G32" s="17">
        <f>VLOOKUP(A32,'Source Readmission Final'!A:Q,15,FALSE)</f>
        <v>-0.1996</v>
      </c>
      <c r="H32" s="17">
        <f>VLOOKUP(A32,'Source Readmission Final'!A:Q,17,FALSE)</f>
        <v>-0.18063100000000001</v>
      </c>
      <c r="I32" s="19">
        <f t="shared" si="0"/>
        <v>-0.14299999999999999</v>
      </c>
      <c r="J32" s="20">
        <f t="shared" si="1"/>
        <v>3.5999999999999999E-3</v>
      </c>
      <c r="K32" s="21">
        <f t="shared" si="2"/>
        <v>372532</v>
      </c>
      <c r="L32" s="17">
        <f>VLOOKUP(A32,'Readmit Attainment'!A:G,7,FALSE)</f>
        <v>9.1436807095343672E-2</v>
      </c>
      <c r="M32" s="22">
        <f t="shared" si="3"/>
        <v>0.107</v>
      </c>
      <c r="N32" s="20">
        <f t="shared" si="4"/>
        <v>0.01</v>
      </c>
      <c r="O32" s="21">
        <f t="shared" si="7"/>
        <v>1034811</v>
      </c>
      <c r="P32" s="23">
        <f t="shared" si="5"/>
        <v>1034811</v>
      </c>
      <c r="Q32" s="22">
        <f t="shared" si="6"/>
        <v>1.0000004519136629E-2</v>
      </c>
      <c r="R32" s="15" t="str">
        <f t="shared" si="8"/>
        <v>Att</v>
      </c>
    </row>
    <row r="33" spans="1:18">
      <c r="A33" s="14">
        <v>210038</v>
      </c>
      <c r="B33" s="55" t="s">
        <v>50</v>
      </c>
      <c r="C33" s="16">
        <f>VLOOKUP(A33,'[7]Source Revenue'!$A:$D,4,FALSE)</f>
        <v>111141001.82951267</v>
      </c>
      <c r="D33" s="17">
        <f>VLOOKUP(A33,'Source Readmission Final'!A:Q,16,FALSE)</f>
        <v>-0.112</v>
      </c>
      <c r="E33" s="17">
        <f>VLOOKUP(A33,'Source Readmission Final'!A:Q,8,FALSE)</f>
        <v>0.15079999999999999</v>
      </c>
      <c r="F33" s="17">
        <f>VLOOKUP(A33,'Source Readmission Final'!A:O,14,FALSE)</f>
        <v>0.1419</v>
      </c>
      <c r="G33" s="17">
        <f>VLOOKUP(A33,'Source Readmission Final'!A:Q,15,FALSE)</f>
        <v>-5.8999999999999997E-2</v>
      </c>
      <c r="H33" s="17">
        <f>VLOOKUP(A33,'Source Readmission Final'!A:Q,17,FALSE)</f>
        <v>-0.16439200000000001</v>
      </c>
      <c r="I33" s="19">
        <f t="shared" si="0"/>
        <v>-0.14299999999999999</v>
      </c>
      <c r="J33" s="20">
        <f t="shared" si="1"/>
        <v>2E-3</v>
      </c>
      <c r="K33" s="21">
        <f t="shared" si="2"/>
        <v>222282</v>
      </c>
      <c r="L33" s="17">
        <f>VLOOKUP(A33,'Readmit Attainment'!A:G,7,FALSE)</f>
        <v>0.14296691729323308</v>
      </c>
      <c r="M33" s="22">
        <f t="shared" si="3"/>
        <v>0.107</v>
      </c>
      <c r="N33" s="20">
        <f t="shared" si="4"/>
        <v>-0.02</v>
      </c>
      <c r="O33" s="21">
        <f t="shared" si="7"/>
        <v>-2222820</v>
      </c>
      <c r="P33" s="23">
        <f t="shared" si="5"/>
        <v>222282</v>
      </c>
      <c r="Q33" s="22">
        <f t="shared" si="6"/>
        <v>1.9999999670776286E-3</v>
      </c>
      <c r="R33" s="15" t="str">
        <f t="shared" si="8"/>
        <v>Imp</v>
      </c>
    </row>
    <row r="34" spans="1:18">
      <c r="A34" s="14">
        <v>210039</v>
      </c>
      <c r="B34" s="55" t="s">
        <v>51</v>
      </c>
      <c r="C34" s="16">
        <f>VLOOKUP(A34,'[7]Source Revenue'!$A:$D,4,FALSE)</f>
        <v>67111996.336183831</v>
      </c>
      <c r="D34" s="17">
        <f>VLOOKUP(A34,'Source Readmission Final'!A:Q,16,FALSE)</f>
        <v>-0.1008</v>
      </c>
      <c r="E34" s="17">
        <f>VLOOKUP(A34,'Source Readmission Final'!A:Q,8,FALSE)</f>
        <v>8.9200000000000002E-2</v>
      </c>
      <c r="F34" s="17">
        <f>VLOOKUP(A34,'Source Readmission Final'!A:O,14,FALSE)</f>
        <v>9.7600000000000006E-2</v>
      </c>
      <c r="G34" s="17">
        <f>VLOOKUP(A34,'Source Readmission Final'!A:Q,15,FALSE)</f>
        <v>9.4200000000000006E-2</v>
      </c>
      <c r="H34" s="17">
        <f>VLOOKUP(A34,'Source Readmission Final'!A:Q,17,FALSE)</f>
        <v>-1.6095000000000002E-2</v>
      </c>
      <c r="I34" s="19">
        <f t="shared" si="0"/>
        <v>-0.14299999999999999</v>
      </c>
      <c r="J34" s="20">
        <f t="shared" si="1"/>
        <v>-1.21E-2</v>
      </c>
      <c r="K34" s="21">
        <f t="shared" si="2"/>
        <v>-812055</v>
      </c>
      <c r="L34" s="17">
        <f>VLOOKUP(A34,'Readmit Attainment'!A:G,7,FALSE)</f>
        <v>0.11102453531598515</v>
      </c>
      <c r="M34" s="22">
        <f t="shared" si="3"/>
        <v>0.107</v>
      </c>
      <c r="N34" s="20">
        <f t="shared" si="4"/>
        <v>-8.0000000000000002E-3</v>
      </c>
      <c r="O34" s="21">
        <f t="shared" si="7"/>
        <v>-536896</v>
      </c>
      <c r="P34" s="23">
        <f t="shared" si="5"/>
        <v>-536896</v>
      </c>
      <c r="Q34" s="22">
        <f t="shared" si="6"/>
        <v>-8.000000436740538E-3</v>
      </c>
      <c r="R34" s="15" t="str">
        <f t="shared" si="8"/>
        <v>Att</v>
      </c>
    </row>
    <row r="35" spans="1:18">
      <c r="A35" s="14">
        <v>210040</v>
      </c>
      <c r="B35" s="55" t="s">
        <v>52</v>
      </c>
      <c r="C35" s="16">
        <f>VLOOKUP(A35,'[7]Source Revenue'!$A:$D,4,FALSE)</f>
        <v>138719920.48755717</v>
      </c>
      <c r="D35" s="17">
        <f>VLOOKUP(A35,'Source Readmission Final'!A:Q,16,FALSE)</f>
        <v>-0.1918</v>
      </c>
      <c r="E35" s="17">
        <f>VLOOKUP(A35,'Source Readmission Final'!A:Q,8,FALSE)</f>
        <v>0.12509999999999999</v>
      </c>
      <c r="F35" s="17">
        <f>VLOOKUP(A35,'Source Readmission Final'!A:O,14,FALSE)</f>
        <v>0.1067</v>
      </c>
      <c r="G35" s="17">
        <f>VLOOKUP(A35,'Source Readmission Final'!A:Q,15,FALSE)</f>
        <v>-0.14710000000000001</v>
      </c>
      <c r="H35" s="17">
        <f>VLOOKUP(A35,'Source Readmission Final'!A:Q,17,FALSE)</f>
        <v>-0.31068600000000002</v>
      </c>
      <c r="I35" s="19">
        <f t="shared" si="0"/>
        <v>-0.14299999999999999</v>
      </c>
      <c r="J35" s="20">
        <f t="shared" si="1"/>
        <v>0.01</v>
      </c>
      <c r="K35" s="21">
        <f t="shared" si="2"/>
        <v>1387199</v>
      </c>
      <c r="L35" s="17">
        <f>VLOOKUP(A35,'Readmit Attainment'!A:G,7,FALSE)</f>
        <v>0.10727989130434783</v>
      </c>
      <c r="M35" s="22">
        <f t="shared" si="3"/>
        <v>0.107</v>
      </c>
      <c r="N35" s="20">
        <f t="shared" si="4"/>
        <v>-5.9999999999999995E-4</v>
      </c>
      <c r="O35" s="21">
        <f t="shared" si="7"/>
        <v>-83232</v>
      </c>
      <c r="P35" s="23">
        <f t="shared" si="5"/>
        <v>1387199</v>
      </c>
      <c r="Q35" s="22">
        <f t="shared" si="6"/>
        <v>9.999998523099126E-3</v>
      </c>
      <c r="R35" s="15" t="str">
        <f t="shared" si="8"/>
        <v>Imp</v>
      </c>
    </row>
    <row r="36" spans="1:18">
      <c r="A36" s="14">
        <v>210043</v>
      </c>
      <c r="B36" s="55" t="s">
        <v>212</v>
      </c>
      <c r="C36" s="16">
        <f>VLOOKUP(A36,'[7]Source Revenue'!$A:$D,4,FALSE)</f>
        <v>250217336.46421713</v>
      </c>
      <c r="D36" s="17">
        <f>VLOOKUP(A36,'Source Readmission Final'!A:Q,16,FALSE)</f>
        <v>-0.13350000000000001</v>
      </c>
      <c r="E36" s="17">
        <f>VLOOKUP(A36,'Source Readmission Final'!A:Q,8,FALSE)</f>
        <v>0.1244</v>
      </c>
      <c r="F36" s="17">
        <f>VLOOKUP(A36,'Source Readmission Final'!A:O,14,FALSE)</f>
        <v>0.1099</v>
      </c>
      <c r="G36" s="17">
        <f>VLOOKUP(A36,'Source Readmission Final'!A:Q,15,FALSE)</f>
        <v>-0.1166</v>
      </c>
      <c r="H36" s="17">
        <f>VLOOKUP(A36,'Source Readmission Final'!A:Q,17,FALSE)</f>
        <v>-0.23453399999999999</v>
      </c>
      <c r="I36" s="19">
        <f t="shared" si="0"/>
        <v>-0.14299999999999999</v>
      </c>
      <c r="J36" s="20">
        <f t="shared" si="1"/>
        <v>8.6999999999999994E-3</v>
      </c>
      <c r="K36" s="21">
        <f t="shared" si="2"/>
        <v>2176891</v>
      </c>
      <c r="L36" s="17">
        <f>VLOOKUP(A36,'Readmit Attainment'!A:G,7,FALSE)</f>
        <v>0.1116047569803516</v>
      </c>
      <c r="M36" s="22">
        <f t="shared" si="3"/>
        <v>0.107</v>
      </c>
      <c r="N36" s="20">
        <f t="shared" si="4"/>
        <v>-9.1999999999999998E-3</v>
      </c>
      <c r="O36" s="21">
        <f t="shared" si="7"/>
        <v>-2301999</v>
      </c>
      <c r="P36" s="23">
        <f t="shared" si="5"/>
        <v>2176891</v>
      </c>
      <c r="Q36" s="22">
        <f t="shared" si="6"/>
        <v>8.7000006904450079E-3</v>
      </c>
      <c r="R36" s="15" t="str">
        <f t="shared" si="8"/>
        <v>Imp</v>
      </c>
    </row>
    <row r="37" spans="1:18">
      <c r="A37" s="14">
        <v>210044</v>
      </c>
      <c r="B37" s="55" t="s">
        <v>53</v>
      </c>
      <c r="C37" s="16">
        <f>VLOOKUP(A37,'[7]Source Revenue'!$A:$D,4,FALSE)</f>
        <v>237787317.20252523</v>
      </c>
      <c r="D37" s="17">
        <f>VLOOKUP(A37,'Source Readmission Final'!A:Q,16,FALSE)</f>
        <v>-6.2600000000000003E-2</v>
      </c>
      <c r="E37" s="17">
        <f>VLOOKUP(A37,'Source Readmission Final'!A:Q,8,FALSE)</f>
        <v>0.106</v>
      </c>
      <c r="F37" s="17">
        <f>VLOOKUP(A37,'Source Readmission Final'!A:O,14,FALSE)</f>
        <v>0.1023</v>
      </c>
      <c r="G37" s="17">
        <f>VLOOKUP(A37,'Source Readmission Final'!A:Q,15,FALSE)</f>
        <v>-3.49E-2</v>
      </c>
      <c r="H37" s="17">
        <f>VLOOKUP(A37,'Source Readmission Final'!A:Q,17,FALSE)</f>
        <v>-9.5314999999999997E-2</v>
      </c>
      <c r="I37" s="19">
        <f t="shared" si="0"/>
        <v>-0.14299999999999999</v>
      </c>
      <c r="J37" s="20">
        <f t="shared" si="1"/>
        <v>-4.4999999999999997E-3</v>
      </c>
      <c r="K37" s="21">
        <f t="shared" si="2"/>
        <v>-1070043</v>
      </c>
      <c r="L37" s="17">
        <f>VLOOKUP(A37,'Readmit Attainment'!A:G,7,FALSE)</f>
        <v>0.10471178781925343</v>
      </c>
      <c r="M37" s="22">
        <f t="shared" si="3"/>
        <v>0.107</v>
      </c>
      <c r="N37" s="20">
        <f t="shared" si="4"/>
        <v>4.5999999999999999E-3</v>
      </c>
      <c r="O37" s="21">
        <f t="shared" si="7"/>
        <v>1093822</v>
      </c>
      <c r="P37" s="23">
        <f t="shared" si="5"/>
        <v>1093822</v>
      </c>
      <c r="Q37" s="22">
        <f t="shared" si="6"/>
        <v>4.6000014335011137E-3</v>
      </c>
      <c r="R37" s="15" t="str">
        <f t="shared" si="8"/>
        <v>Att</v>
      </c>
    </row>
    <row r="38" spans="1:18">
      <c r="A38" s="14">
        <v>210045</v>
      </c>
      <c r="B38" s="55" t="s">
        <v>54</v>
      </c>
      <c r="C38" s="16">
        <f>VLOOKUP(A38,'[7]Source Revenue'!$A:$D,4,FALSE)</f>
        <v>2269931.2301072637</v>
      </c>
      <c r="D38" s="17">
        <f>VLOOKUP(A38,'Source Readmission Final'!A:Q,16,FALSE)</f>
        <v>7.0400000000000004E-2</v>
      </c>
      <c r="E38" s="17">
        <f>VLOOKUP(A38,'Source Readmission Final'!A:Q,8,FALSE)</f>
        <v>0.1283</v>
      </c>
      <c r="F38" s="17">
        <f>VLOOKUP(A38,'Source Readmission Final'!A:O,14,FALSE)</f>
        <v>0.11219999999999999</v>
      </c>
      <c r="G38" s="17">
        <f>VLOOKUP(A38,'Source Readmission Final'!A:Q,15,FALSE)</f>
        <v>-0.1255</v>
      </c>
      <c r="H38" s="17">
        <f>VLOOKUP(A38,'Source Readmission Final'!A:Q,17,FALSE)</f>
        <v>-6.3935000000000006E-2</v>
      </c>
      <c r="I38" s="19">
        <f t="shared" si="0"/>
        <v>-0.14299999999999999</v>
      </c>
      <c r="J38" s="20">
        <f t="shared" si="1"/>
        <v>-7.4999999999999997E-3</v>
      </c>
      <c r="K38" s="21">
        <f t="shared" si="2"/>
        <v>-17024</v>
      </c>
      <c r="L38" s="17">
        <f>VLOOKUP(A38,'Readmit Attainment'!A:G,7,FALSE)</f>
        <v>0.11219999999999999</v>
      </c>
      <c r="M38" s="22">
        <f t="shared" si="3"/>
        <v>0.107</v>
      </c>
      <c r="N38" s="20">
        <f t="shared" si="4"/>
        <v>-1.04E-2</v>
      </c>
      <c r="O38" s="21">
        <f t="shared" si="7"/>
        <v>-23607</v>
      </c>
      <c r="P38" s="23">
        <f t="shared" si="5"/>
        <v>-17024</v>
      </c>
      <c r="Q38" s="22">
        <f t="shared" si="6"/>
        <v>-7.4997866782050247E-3</v>
      </c>
      <c r="R38" s="15" t="str">
        <f t="shared" si="8"/>
        <v>Imp</v>
      </c>
    </row>
    <row r="39" spans="1:18">
      <c r="A39" s="14">
        <v>210048</v>
      </c>
      <c r="B39" s="55" t="s">
        <v>55</v>
      </c>
      <c r="C39" s="16">
        <f>VLOOKUP(A39,'[7]Source Revenue'!$A:$D,4,FALSE)</f>
        <v>182870977.1629326</v>
      </c>
      <c r="D39" s="17">
        <f>VLOOKUP(A39,'Source Readmission Final'!A:Q,16,FALSE)</f>
        <v>-4.9200000000000001E-2</v>
      </c>
      <c r="E39" s="17">
        <f>VLOOKUP(A39,'Source Readmission Final'!A:Q,8,FALSE)</f>
        <v>0.1144</v>
      </c>
      <c r="F39" s="17">
        <f>VLOOKUP(A39,'Source Readmission Final'!A:O,14,FALSE)</f>
        <v>0.1069</v>
      </c>
      <c r="G39" s="17">
        <f>VLOOKUP(A39,'Source Readmission Final'!A:Q,15,FALSE)</f>
        <v>-6.5600000000000006E-2</v>
      </c>
      <c r="H39" s="17">
        <f>VLOOKUP(A39,'Source Readmission Final'!A:Q,17,FALSE)</f>
        <v>-0.111572</v>
      </c>
      <c r="I39" s="19">
        <f t="shared" si="0"/>
        <v>-0.14299999999999999</v>
      </c>
      <c r="J39" s="20">
        <f t="shared" si="1"/>
        <v>-3.0000000000000001E-3</v>
      </c>
      <c r="K39" s="21">
        <f t="shared" si="2"/>
        <v>-548613</v>
      </c>
      <c r="L39" s="17">
        <f>VLOOKUP(A39,'Readmit Attainment'!A:G,7,FALSE)</f>
        <v>0.10887718865598027</v>
      </c>
      <c r="M39" s="22">
        <f t="shared" si="3"/>
        <v>0.107</v>
      </c>
      <c r="N39" s="20">
        <f t="shared" si="4"/>
        <v>-3.8E-3</v>
      </c>
      <c r="O39" s="21">
        <f t="shared" si="7"/>
        <v>-694910</v>
      </c>
      <c r="P39" s="23">
        <f t="shared" si="5"/>
        <v>-548613</v>
      </c>
      <c r="Q39" s="22">
        <f t="shared" si="6"/>
        <v>-3.0000003746422929E-3</v>
      </c>
      <c r="R39" s="15" t="str">
        <f t="shared" si="8"/>
        <v>Imp</v>
      </c>
    </row>
    <row r="40" spans="1:18">
      <c r="A40" s="14">
        <v>210049</v>
      </c>
      <c r="B40" s="55" t="s">
        <v>232</v>
      </c>
      <c r="C40" s="16">
        <f>VLOOKUP(A40,'[7]Source Revenue'!$A:$D,4,FALSE)</f>
        <v>128686090.78024776</v>
      </c>
      <c r="D40" s="17">
        <f>VLOOKUP(A40,'Source Readmission Final'!A:Q,16,FALSE)</f>
        <v>-5.8700000000000002E-2</v>
      </c>
      <c r="E40" s="17">
        <f>VLOOKUP(A40,'Source Readmission Final'!A:Q,8,FALSE)</f>
        <v>0.1105</v>
      </c>
      <c r="F40" s="17">
        <f>VLOOKUP(A40,'Source Readmission Final'!A:O,14,FALSE)</f>
        <v>0.1081</v>
      </c>
      <c r="G40" s="17">
        <f>VLOOKUP(A40,'Source Readmission Final'!A:Q,15,FALSE)</f>
        <v>-2.1700000000000001E-2</v>
      </c>
      <c r="H40" s="17">
        <f>VLOOKUP(A40,'Source Readmission Final'!A:Q,17,FALSE)</f>
        <v>-7.9126000000000002E-2</v>
      </c>
      <c r="I40" s="19">
        <f t="shared" si="0"/>
        <v>-0.14299999999999999</v>
      </c>
      <c r="J40" s="20">
        <f t="shared" si="1"/>
        <v>-6.1000000000000004E-3</v>
      </c>
      <c r="K40" s="21">
        <f t="shared" si="2"/>
        <v>-784985</v>
      </c>
      <c r="L40" s="17">
        <f>VLOOKUP(A40,'Readmit Attainment'!A:G,7,FALSE)</f>
        <v>0.11035208333333332</v>
      </c>
      <c r="M40" s="22">
        <f t="shared" si="3"/>
        <v>0.107</v>
      </c>
      <c r="N40" s="20">
        <f t="shared" si="4"/>
        <v>-6.7000000000000002E-3</v>
      </c>
      <c r="O40" s="21">
        <f t="shared" si="7"/>
        <v>-862197</v>
      </c>
      <c r="P40" s="23">
        <f t="shared" si="5"/>
        <v>-784985</v>
      </c>
      <c r="Q40" s="22">
        <f t="shared" si="6"/>
        <v>-6.0999988051582696E-3</v>
      </c>
      <c r="R40" s="15" t="str">
        <f t="shared" si="8"/>
        <v>Imp</v>
      </c>
    </row>
    <row r="41" spans="1:18">
      <c r="A41" s="14">
        <v>210051</v>
      </c>
      <c r="B41" s="55" t="s">
        <v>233</v>
      </c>
      <c r="C41" s="16">
        <f>VLOOKUP(A41,'[7]Source Revenue'!$A:$D,4,FALSE)</f>
        <v>141094311.02338791</v>
      </c>
      <c r="D41" s="17">
        <f>VLOOKUP(A41,'Source Readmission Final'!A:Q,16,FALSE)</f>
        <v>-0.1041</v>
      </c>
      <c r="E41" s="17">
        <f>VLOOKUP(A41,'Source Readmission Final'!A:Q,8,FALSE)</f>
        <v>0.11650000000000001</v>
      </c>
      <c r="F41" s="17">
        <f>VLOOKUP(A41,'Source Readmission Final'!A:O,14,FALSE)</f>
        <v>9.64E-2</v>
      </c>
      <c r="G41" s="17">
        <f>VLOOKUP(A41,'Source Readmission Final'!A:Q,15,FALSE)</f>
        <v>-0.17249999999999999</v>
      </c>
      <c r="H41" s="17">
        <f>VLOOKUP(A41,'Source Readmission Final'!A:Q,17,FALSE)</f>
        <v>-0.25864300000000001</v>
      </c>
      <c r="I41" s="19">
        <f t="shared" si="0"/>
        <v>-0.14299999999999999</v>
      </c>
      <c r="J41" s="20">
        <f t="shared" si="1"/>
        <v>0.01</v>
      </c>
      <c r="K41" s="21">
        <f t="shared" si="2"/>
        <v>1410943</v>
      </c>
      <c r="L41" s="17">
        <f>VLOOKUP(A41,'Readmit Attainment'!A:G,7,FALSE)</f>
        <v>0.10963948497854079</v>
      </c>
      <c r="M41" s="22">
        <f t="shared" si="3"/>
        <v>0.107</v>
      </c>
      <c r="N41" s="20">
        <f t="shared" si="4"/>
        <v>-5.3E-3</v>
      </c>
      <c r="O41" s="21">
        <f t="shared" si="7"/>
        <v>-747800</v>
      </c>
      <c r="P41" s="23">
        <f t="shared" si="5"/>
        <v>1410943</v>
      </c>
      <c r="Q41" s="22">
        <f t="shared" si="6"/>
        <v>9.9999992187220152E-3</v>
      </c>
      <c r="R41" s="15" t="str">
        <f t="shared" si="8"/>
        <v>Imp</v>
      </c>
    </row>
    <row r="42" spans="1:18">
      <c r="A42" s="14">
        <v>210055</v>
      </c>
      <c r="B42" s="55" t="s">
        <v>234</v>
      </c>
      <c r="C42" s="16"/>
      <c r="D42" s="17"/>
      <c r="E42" s="17"/>
      <c r="F42" s="17"/>
      <c r="G42" s="17"/>
      <c r="H42" s="17"/>
      <c r="I42" s="19"/>
      <c r="J42" s="20"/>
      <c r="K42" s="21"/>
      <c r="L42" s="17"/>
      <c r="M42" s="22"/>
      <c r="N42" s="20"/>
      <c r="O42" s="21"/>
      <c r="P42" s="23"/>
      <c r="Q42" s="22"/>
      <c r="R42" s="15"/>
    </row>
    <row r="43" spans="1:18">
      <c r="A43" s="14">
        <v>210056</v>
      </c>
      <c r="B43" s="55" t="s">
        <v>235</v>
      </c>
      <c r="C43" s="16">
        <f>VLOOKUP(A43,'[7]Source Revenue'!$A:$D,4,FALSE)</f>
        <v>146901578.80024388</v>
      </c>
      <c r="D43" s="17">
        <f>VLOOKUP(A43,'Source Readmission Final'!A:Q,16,FALSE)</f>
        <v>-0.18049999999999999</v>
      </c>
      <c r="E43" s="17">
        <f>VLOOKUP(A43,'Source Readmission Final'!A:Q,8,FALSE)</f>
        <v>0.1203</v>
      </c>
      <c r="F43" s="17">
        <f>VLOOKUP(A43,'Source Readmission Final'!A:O,14,FALSE)</f>
        <v>0.1318</v>
      </c>
      <c r="G43" s="17">
        <f>VLOOKUP(A43,'Source Readmission Final'!A:Q,15,FALSE)</f>
        <v>9.5600000000000004E-2</v>
      </c>
      <c r="H43" s="17">
        <f>VLOOKUP(A43,'Source Readmission Final'!A:Q,17,FALSE)</f>
        <v>-0.102156</v>
      </c>
      <c r="I43" s="19">
        <f t="shared" si="0"/>
        <v>-0.14299999999999999</v>
      </c>
      <c r="J43" s="20">
        <f t="shared" si="1"/>
        <v>-3.8999999999999998E-3</v>
      </c>
      <c r="K43" s="21">
        <f t="shared" si="2"/>
        <v>-572916</v>
      </c>
      <c r="L43" s="17">
        <f>VLOOKUP(A43,'Readmit Attainment'!A:G,7,FALSE)</f>
        <v>0.13222379421221864</v>
      </c>
      <c r="M43" s="22">
        <f t="shared" si="3"/>
        <v>0.107</v>
      </c>
      <c r="N43" s="20">
        <f t="shared" si="4"/>
        <v>-0.02</v>
      </c>
      <c r="O43" s="21">
        <f t="shared" ref="O43:O51" si="9">ROUND($C43*N43,0)</f>
        <v>-2938032</v>
      </c>
      <c r="P43" s="23">
        <f t="shared" si="5"/>
        <v>-572916</v>
      </c>
      <c r="Q43" s="22">
        <f t="shared" si="6"/>
        <v>-3.8999989290724275E-3</v>
      </c>
      <c r="R43" s="15" t="str">
        <f t="shared" si="8"/>
        <v>Imp</v>
      </c>
    </row>
    <row r="44" spans="1:18">
      <c r="A44" s="14">
        <v>210057</v>
      </c>
      <c r="B44" s="55" t="s">
        <v>56</v>
      </c>
      <c r="C44" s="16">
        <f>VLOOKUP(A44,'[7]Source Revenue'!$A:$D,4,FALSE)</f>
        <v>251748233.71978343</v>
      </c>
      <c r="D44" s="17">
        <f>VLOOKUP(A44,'Source Readmission Final'!A:Q,16,FALSE)</f>
        <v>-9.7299999999999998E-2</v>
      </c>
      <c r="E44" s="17">
        <f>VLOOKUP(A44,'Source Readmission Final'!A:Q,8,FALSE)</f>
        <v>0.1</v>
      </c>
      <c r="F44" s="17">
        <f>VLOOKUP(A44,'Source Readmission Final'!A:O,14,FALSE)</f>
        <v>9.6699999999999994E-2</v>
      </c>
      <c r="G44" s="17">
        <f>VLOOKUP(A44,'Source Readmission Final'!A:Q,15,FALSE)</f>
        <v>-3.3000000000000002E-2</v>
      </c>
      <c r="H44" s="17">
        <f>VLOOKUP(A44,'Source Readmission Final'!A:Q,17,FALSE)</f>
        <v>-0.12708900000000001</v>
      </c>
      <c r="I44" s="19">
        <f t="shared" si="0"/>
        <v>-0.14299999999999999</v>
      </c>
      <c r="J44" s="20">
        <f t="shared" si="1"/>
        <v>-1.5E-3</v>
      </c>
      <c r="K44" s="21">
        <f t="shared" si="2"/>
        <v>-377622</v>
      </c>
      <c r="L44" s="17">
        <f>VLOOKUP(A44,'Readmit Attainment'!A:G,7,FALSE)</f>
        <v>0.10250883392226148</v>
      </c>
      <c r="M44" s="22">
        <f t="shared" si="3"/>
        <v>0.107</v>
      </c>
      <c r="N44" s="20">
        <f t="shared" si="4"/>
        <v>8.9999999999999993E-3</v>
      </c>
      <c r="O44" s="21">
        <f t="shared" si="9"/>
        <v>2265734</v>
      </c>
      <c r="P44" s="23">
        <f t="shared" si="5"/>
        <v>2265734</v>
      </c>
      <c r="Q44" s="22">
        <f t="shared" si="6"/>
        <v>8.9999995889621584E-3</v>
      </c>
      <c r="R44" s="15" t="str">
        <f t="shared" si="8"/>
        <v>Att</v>
      </c>
    </row>
    <row r="45" spans="1:18">
      <c r="A45" s="14">
        <v>210058</v>
      </c>
      <c r="B45" s="55" t="s">
        <v>165</v>
      </c>
      <c r="C45" s="16">
        <f>VLOOKUP(A45,'[7]Source Revenue'!$A:$D,4,FALSE)</f>
        <v>72350285.443095669</v>
      </c>
      <c r="D45" s="17">
        <f>VLOOKUP(A45,'Source Readmission Final'!A:Q,16,FALSE)</f>
        <v>-0.1065</v>
      </c>
      <c r="E45" s="17">
        <f>VLOOKUP(A45,'Source Readmission Final'!A:Q,8,FALSE)</f>
        <v>9.7199999999999995E-2</v>
      </c>
      <c r="F45" s="17">
        <f>VLOOKUP(A45,'Source Readmission Final'!A:O,14,FALSE)</f>
        <v>7.6200000000000004E-2</v>
      </c>
      <c r="G45" s="17">
        <f>VLOOKUP(A45,'Source Readmission Final'!A:Q,15,FALSE)</f>
        <v>-0.216</v>
      </c>
      <c r="H45" s="17">
        <f>VLOOKUP(A45,'Source Readmission Final'!A:Q,17,FALSE)</f>
        <v>-0.29949599999999998</v>
      </c>
      <c r="I45" s="19">
        <f t="shared" si="0"/>
        <v>-0.14299999999999999</v>
      </c>
      <c r="J45" s="20">
        <f t="shared" si="1"/>
        <v>0.01</v>
      </c>
      <c r="K45" s="21">
        <f t="shared" si="2"/>
        <v>723503</v>
      </c>
      <c r="L45" s="17">
        <f>VLOOKUP(A45,'Readmit Attainment'!A:G,7,FALSE)</f>
        <v>7.6200000000000004E-2</v>
      </c>
      <c r="M45" s="22">
        <f t="shared" si="3"/>
        <v>0.107</v>
      </c>
      <c r="N45" s="20">
        <f t="shared" si="4"/>
        <v>0.01</v>
      </c>
      <c r="O45" s="21">
        <f>$C45*N45*0.16</f>
        <v>115760.45670895306</v>
      </c>
      <c r="P45" s="23">
        <f t="shared" si="5"/>
        <v>723503</v>
      </c>
      <c r="Q45" s="22">
        <f t="shared" si="6"/>
        <v>1.0000002012003718E-2</v>
      </c>
      <c r="R45" s="15" t="str">
        <f t="shared" si="8"/>
        <v>Imp</v>
      </c>
    </row>
    <row r="46" spans="1:18">
      <c r="A46" s="14">
        <v>210060</v>
      </c>
      <c r="B46" s="55" t="s">
        <v>57</v>
      </c>
      <c r="C46" s="16">
        <f>VLOOKUP(A46,'[7]Source Revenue'!$A:$D,4,FALSE)</f>
        <v>19890382.559177123</v>
      </c>
      <c r="D46" s="17">
        <f>VLOOKUP(A46,'Source Readmission Final'!A:Q,16,FALSE)</f>
        <v>-0.27410000000000001</v>
      </c>
      <c r="E46" s="17">
        <f>VLOOKUP(A46,'Source Readmission Final'!A:Q,8,FALSE)</f>
        <v>9.4799999999999995E-2</v>
      </c>
      <c r="F46" s="17">
        <f>VLOOKUP(A46,'Source Readmission Final'!A:O,14,FALSE)</f>
        <v>8.1799999999999998E-2</v>
      </c>
      <c r="G46" s="17">
        <f>VLOOKUP(A46,'Source Readmission Final'!A:Q,15,FALSE)</f>
        <v>-0.1371</v>
      </c>
      <c r="H46" s="17">
        <f>VLOOKUP(A46,'Source Readmission Final'!A:Q,17,FALSE)</f>
        <v>-0.37362099999999998</v>
      </c>
      <c r="I46" s="19">
        <f t="shared" si="0"/>
        <v>-0.14299999999999999</v>
      </c>
      <c r="J46" s="20">
        <f t="shared" si="1"/>
        <v>0.01</v>
      </c>
      <c r="K46" s="21">
        <f t="shared" ref="K46:K50" si="10">ROUND($C46*J46,0)</f>
        <v>198904</v>
      </c>
      <c r="L46" s="17">
        <f>VLOOKUP(A46,'Readmit Attainment'!A:G,7,FALSE)</f>
        <v>0.12380540540540541</v>
      </c>
      <c r="M46" s="22">
        <f t="shared" si="3"/>
        <v>0.107</v>
      </c>
      <c r="N46" s="20">
        <f t="shared" si="4"/>
        <v>-0.02</v>
      </c>
      <c r="O46" s="21">
        <f t="shared" si="9"/>
        <v>-397808</v>
      </c>
      <c r="P46" s="23">
        <f t="shared" si="5"/>
        <v>198904</v>
      </c>
      <c r="Q46" s="22">
        <f t="shared" si="6"/>
        <v>1.0000008768470302E-2</v>
      </c>
      <c r="R46" s="15" t="str">
        <f t="shared" si="8"/>
        <v>Imp</v>
      </c>
    </row>
    <row r="47" spans="1:18">
      <c r="A47" s="14">
        <v>210061</v>
      </c>
      <c r="B47" s="55" t="s">
        <v>58</v>
      </c>
      <c r="C47" s="16">
        <f>VLOOKUP(A47,'[7]Source Revenue'!$A:$D,4,FALSE)</f>
        <v>36931909.829574928</v>
      </c>
      <c r="D47" s="17">
        <f>VLOOKUP(A47,'Source Readmission Final'!A:Q,16,FALSE)</f>
        <v>-0.25019999999999998</v>
      </c>
      <c r="E47" s="17">
        <f>VLOOKUP(A47,'Source Readmission Final'!A:Q,8,FALSE)</f>
        <v>8.9300000000000004E-2</v>
      </c>
      <c r="F47" s="17">
        <f>VLOOKUP(A47,'Source Readmission Final'!A:O,14,FALSE)</f>
        <v>9.4799999999999995E-2</v>
      </c>
      <c r="G47" s="17">
        <f>VLOOKUP(A47,'Source Readmission Final'!A:Q,15,FALSE)</f>
        <v>6.1600000000000002E-2</v>
      </c>
      <c r="H47" s="17">
        <f>VLOOKUP(A47,'Source Readmission Final'!A:Q,17,FALSE)</f>
        <v>-0.204012</v>
      </c>
      <c r="I47" s="19">
        <f t="shared" si="0"/>
        <v>-0.14299999999999999</v>
      </c>
      <c r="J47" s="20">
        <f t="shared" si="1"/>
        <v>5.7999999999999996E-3</v>
      </c>
      <c r="K47" s="21">
        <f t="shared" si="10"/>
        <v>214205</v>
      </c>
      <c r="L47" s="17">
        <f>VLOOKUP(A47,'Readmit Attainment'!A:G,7,FALSE)</f>
        <v>0.1005206896551724</v>
      </c>
      <c r="M47" s="22">
        <f t="shared" si="3"/>
        <v>0.107</v>
      </c>
      <c r="N47" s="20">
        <f t="shared" si="4"/>
        <v>0.01</v>
      </c>
      <c r="O47" s="21">
        <f t="shared" si="9"/>
        <v>369319</v>
      </c>
      <c r="P47" s="23">
        <f t="shared" si="5"/>
        <v>369319</v>
      </c>
      <c r="Q47" s="22">
        <f t="shared" si="6"/>
        <v>9.9999973384601627E-3</v>
      </c>
      <c r="R47" s="15" t="str">
        <f t="shared" si="8"/>
        <v>Att</v>
      </c>
    </row>
    <row r="48" spans="1:18">
      <c r="A48" s="14">
        <v>210062</v>
      </c>
      <c r="B48" s="55" t="s">
        <v>236</v>
      </c>
      <c r="C48" s="16">
        <f>VLOOKUP(A48,'[7]Source Revenue'!$A:$D,4,FALSE)</f>
        <v>162087855.72437662</v>
      </c>
      <c r="D48" s="17">
        <f>VLOOKUP(A48,'Source Readmission Final'!A:Q,16,FALSE)</f>
        <v>-7.6300000000000007E-2</v>
      </c>
      <c r="E48" s="17">
        <f>VLOOKUP(A48,'Source Readmission Final'!A:Q,8,FALSE)</f>
        <v>0.1125</v>
      </c>
      <c r="F48" s="17">
        <f>VLOOKUP(A48,'Source Readmission Final'!A:O,14,FALSE)</f>
        <v>9.4500000000000001E-2</v>
      </c>
      <c r="G48" s="17">
        <f>VLOOKUP(A48,'Source Readmission Final'!A:Q,15,FALSE)</f>
        <v>-0.16</v>
      </c>
      <c r="H48" s="17">
        <f>VLOOKUP(A48,'Source Readmission Final'!A:Q,17,FALSE)</f>
        <v>-0.22409200000000001</v>
      </c>
      <c r="I48" s="19">
        <f t="shared" si="0"/>
        <v>-0.14299999999999999</v>
      </c>
      <c r="J48" s="20">
        <f t="shared" si="1"/>
        <v>7.7000000000000002E-3</v>
      </c>
      <c r="K48" s="21">
        <f t="shared" si="10"/>
        <v>1248076</v>
      </c>
      <c r="L48" s="17">
        <f>VLOOKUP(A48,'Readmit Attainment'!A:G,7,FALSE)</f>
        <v>0.12682304038004752</v>
      </c>
      <c r="M48" s="22">
        <f t="shared" si="3"/>
        <v>0.107</v>
      </c>
      <c r="N48" s="20">
        <f t="shared" si="4"/>
        <v>-0.02</v>
      </c>
      <c r="O48" s="21">
        <f t="shared" si="9"/>
        <v>-3241757</v>
      </c>
      <c r="P48" s="23">
        <f t="shared" si="5"/>
        <v>1248076</v>
      </c>
      <c r="Q48" s="22">
        <f t="shared" si="6"/>
        <v>7.6999969826382257E-3</v>
      </c>
      <c r="R48" s="15" t="str">
        <f t="shared" si="8"/>
        <v>Imp</v>
      </c>
    </row>
    <row r="49" spans="1:18" s="26" customFormat="1">
      <c r="A49" s="14">
        <v>210063</v>
      </c>
      <c r="B49" s="55" t="s">
        <v>59</v>
      </c>
      <c r="C49" s="16">
        <f>VLOOKUP(A49,'[7]Source Revenue'!$A:$D,4,FALSE)</f>
        <v>223399906.96435797</v>
      </c>
      <c r="D49" s="17">
        <f>VLOOKUP(A49,'Source Readmission Final'!A:Q,16,FALSE)</f>
        <v>-0.10290000000000001</v>
      </c>
      <c r="E49" s="17">
        <f>VLOOKUP(A49,'Source Readmission Final'!A:Q,8,FALSE)</f>
        <v>0.1079</v>
      </c>
      <c r="F49" s="17">
        <f>VLOOKUP(A49,'Source Readmission Final'!A:O,14,FALSE)</f>
        <v>0.10489999999999999</v>
      </c>
      <c r="G49" s="17">
        <f>VLOOKUP(A49,'Source Readmission Final'!A:Q,15,FALSE)</f>
        <v>-2.7799999999999998E-2</v>
      </c>
      <c r="H49" s="17">
        <f>VLOOKUP(A49,'Source Readmission Final'!A:Q,17,FALSE)</f>
        <v>-0.12783900000000001</v>
      </c>
      <c r="I49" s="19">
        <f t="shared" si="0"/>
        <v>-0.14299999999999999</v>
      </c>
      <c r="J49" s="20">
        <f t="shared" si="1"/>
        <v>-1.4E-3</v>
      </c>
      <c r="K49" s="21">
        <f t="shared" si="10"/>
        <v>-312760</v>
      </c>
      <c r="L49" s="17">
        <f>VLOOKUP(A49,'Readmit Attainment'!A:G,7,FALSE)</f>
        <v>0.10672170767004342</v>
      </c>
      <c r="M49" s="22">
        <f t="shared" si="3"/>
        <v>0.107</v>
      </c>
      <c r="N49" s="20">
        <f t="shared" si="4"/>
        <v>5.9999999999999995E-4</v>
      </c>
      <c r="O49" s="21">
        <f t="shared" si="9"/>
        <v>134040</v>
      </c>
      <c r="P49" s="23">
        <f t="shared" si="5"/>
        <v>134040</v>
      </c>
      <c r="Q49" s="22">
        <f t="shared" si="6"/>
        <v>6.0000024987201636E-4</v>
      </c>
      <c r="R49" s="15" t="str">
        <f t="shared" si="8"/>
        <v>Att</v>
      </c>
    </row>
    <row r="50" spans="1:18" s="26" customFormat="1">
      <c r="A50" s="14">
        <v>210064</v>
      </c>
      <c r="B50" s="55" t="s">
        <v>60</v>
      </c>
      <c r="C50" s="16">
        <f>VLOOKUP(A50,'[7]Source Revenue'!$A:$D,4,FALSE)</f>
        <v>57510718.993812039</v>
      </c>
      <c r="D50" s="17">
        <f>VLOOKUP(A50,'Source Readmission Final'!A:Q,16,FALSE)</f>
        <v>-0.28839999999999999</v>
      </c>
      <c r="E50" s="17">
        <f>VLOOKUP(A50,'Source Readmission Final'!A:Q,8,FALSE)</f>
        <v>0.10589999999999999</v>
      </c>
      <c r="F50" s="17">
        <f>VLOOKUP(A50,'Source Readmission Final'!A:O,14,FALSE)</f>
        <v>0.1119</v>
      </c>
      <c r="G50" s="17">
        <f>VLOOKUP(A50,'Source Readmission Final'!A:Q,15,FALSE)</f>
        <v>5.67E-2</v>
      </c>
      <c r="H50" s="17">
        <f>VLOOKUP(A50,'Source Readmission Final'!A:Q,17,FALSE)</f>
        <v>-0.24805199999999999</v>
      </c>
      <c r="I50" s="19">
        <f t="shared" si="0"/>
        <v>-0.14299999999999999</v>
      </c>
      <c r="J50" s="20">
        <f t="shared" si="1"/>
        <v>0.01</v>
      </c>
      <c r="K50" s="21">
        <f t="shared" si="10"/>
        <v>575107</v>
      </c>
      <c r="L50" s="17">
        <f>VLOOKUP(A50,'Readmit Attainment'!A:G,7,FALSE)</f>
        <v>0.1119</v>
      </c>
      <c r="M50" s="22">
        <f t="shared" si="3"/>
        <v>0.107</v>
      </c>
      <c r="N50" s="20">
        <f t="shared" si="4"/>
        <v>-9.7999999999999997E-3</v>
      </c>
      <c r="O50" s="21">
        <f t="shared" si="9"/>
        <v>-563605</v>
      </c>
      <c r="P50" s="23">
        <f t="shared" si="5"/>
        <v>575107</v>
      </c>
      <c r="Q50" s="22">
        <f t="shared" si="6"/>
        <v>9.999996697344013E-3</v>
      </c>
      <c r="R50" s="15" t="str">
        <f t="shared" si="8"/>
        <v>Imp</v>
      </c>
    </row>
    <row r="51" spans="1:18" s="26" customFormat="1">
      <c r="A51" s="14">
        <v>210065</v>
      </c>
      <c r="B51" s="55" t="s">
        <v>237</v>
      </c>
      <c r="C51" s="27">
        <f>VLOOKUP(A51,'[7]Source Revenue'!$A:$D,4,FALSE)</f>
        <v>59062315.291286595</v>
      </c>
      <c r="D51" s="17" t="str">
        <f>VLOOKUP(A51,'Source Readmission Final'!A:Q,16,FALSE)</f>
        <v xml:space="preserve"> </v>
      </c>
      <c r="E51" s="17">
        <f>VLOOKUP(A51,'Source Readmission Final'!A:Q,8,FALSE)</f>
        <v>0.1072</v>
      </c>
      <c r="F51" s="17">
        <f>VLOOKUP(A51,'Source Readmission Final'!A:O,14,FALSE)</f>
        <v>0.11210000000000001</v>
      </c>
      <c r="G51" s="17">
        <f>VLOOKUP(A51,'Source Readmission Final'!A:Q,15,FALSE)</f>
        <v>4.5699999999999998E-2</v>
      </c>
      <c r="H51" s="17" t="str">
        <f>VLOOKUP(A51,'Source Readmission Final'!A:Q,17,FALSE)</f>
        <v xml:space="preserve"> </v>
      </c>
      <c r="I51" s="22">
        <f>$C$72</f>
        <v>-3.9600000000000003E-2</v>
      </c>
      <c r="J51" s="17">
        <f>ROUND(IF(G51&lt;=$C$73,MaxReward,IF(G51&gt;=$C$74,MaxPenalty,IF(G51&lt;=I51,MaxReward*((G51-I51)/($C$73-I51)),MaxPenalty*((G51-I51)/($C$74-I51))))),4)</f>
        <v>-8.0999999999999996E-3</v>
      </c>
      <c r="K51" s="21">
        <f>ROUND($C51*J51,0)</f>
        <v>-478405</v>
      </c>
      <c r="L51" s="17">
        <f>VLOOKUP(A51,'Readmit Attainment'!A:G,7,FALSE)</f>
        <v>0.11697391304347826</v>
      </c>
      <c r="M51" s="22">
        <f t="shared" si="3"/>
        <v>0.107</v>
      </c>
      <c r="N51" s="17">
        <f t="shared" si="4"/>
        <v>-1.9900000000000001E-2</v>
      </c>
      <c r="O51" s="21">
        <f t="shared" si="9"/>
        <v>-1175340</v>
      </c>
      <c r="P51" s="23">
        <f t="shared" si="5"/>
        <v>-478405</v>
      </c>
      <c r="Q51" s="22">
        <f t="shared" si="6"/>
        <v>-8.1000041674725645E-3</v>
      </c>
      <c r="R51" s="15" t="str">
        <f t="shared" si="8"/>
        <v>Imp</v>
      </c>
    </row>
    <row r="52" spans="1:18" s="26" customFormat="1">
      <c r="A52" s="14"/>
      <c r="B52" s="55"/>
      <c r="C52" s="16"/>
      <c r="D52" s="17"/>
      <c r="E52" s="28"/>
      <c r="F52" s="28"/>
      <c r="G52" s="28"/>
      <c r="H52" s="28"/>
      <c r="I52" s="19"/>
      <c r="J52" s="29"/>
      <c r="K52" s="21"/>
      <c r="L52" s="21"/>
      <c r="M52" s="22"/>
      <c r="N52" s="29"/>
      <c r="O52" s="21"/>
      <c r="P52" s="23"/>
      <c r="Q52" s="22"/>
      <c r="R52" s="15"/>
    </row>
    <row r="53" spans="1:18" s="38" customFormat="1" ht="15.75">
      <c r="A53" s="30" t="s">
        <v>30</v>
      </c>
      <c r="B53" s="56"/>
      <c r="C53" s="31">
        <f>SUM(C4:C51)</f>
        <v>9752172684.2011623</v>
      </c>
      <c r="D53" s="17"/>
      <c r="E53" s="17"/>
      <c r="F53" s="18"/>
      <c r="G53" s="17"/>
      <c r="H53" s="32"/>
      <c r="I53" s="33"/>
      <c r="J53" s="34"/>
      <c r="K53" s="35">
        <f>SUM(K4:K51)</f>
        <v>-4630785</v>
      </c>
      <c r="L53" s="35"/>
      <c r="M53" s="36"/>
      <c r="N53" s="37"/>
      <c r="O53" s="35">
        <f>SUM(O4:O51)</f>
        <v>-135095704.54329103</v>
      </c>
      <c r="P53" s="35">
        <f>SUM(P4:P51)</f>
        <v>5298988</v>
      </c>
      <c r="Q53" s="36"/>
      <c r="R53" s="30"/>
    </row>
    <row r="54" spans="1:18">
      <c r="A54" s="39" t="s">
        <v>66</v>
      </c>
      <c r="B54" s="57"/>
      <c r="C54" s="36"/>
      <c r="D54" s="36"/>
      <c r="E54" s="36"/>
      <c r="F54" s="36"/>
      <c r="G54" s="36"/>
      <c r="H54" s="36"/>
      <c r="I54" s="36"/>
      <c r="J54" s="37"/>
      <c r="K54" s="21">
        <f>SUMIF(K2:K51,"&lt;0",K2:K51)</f>
        <v>-23866604</v>
      </c>
      <c r="L54" s="21"/>
      <c r="M54" s="36"/>
      <c r="N54" s="37"/>
      <c r="O54" s="21">
        <f>SUMIF(O2:O51,"&lt;0",O2:O51)</f>
        <v>-142840986</v>
      </c>
      <c r="P54" s="23">
        <f>SUMIF(P4:P51,"&lt;0",P4:P51)</f>
        <v>-20710401</v>
      </c>
      <c r="Q54" s="36"/>
      <c r="R54" s="36"/>
    </row>
    <row r="55" spans="1:18">
      <c r="A55" s="39" t="s">
        <v>67</v>
      </c>
      <c r="B55" s="57"/>
      <c r="C55" s="36"/>
      <c r="D55" s="36"/>
      <c r="E55" s="36"/>
      <c r="F55" s="36"/>
      <c r="G55" s="36"/>
      <c r="H55" s="36"/>
      <c r="I55" s="36"/>
      <c r="K55" s="21">
        <f>SUMIF(K2:K51,"&gt;0",K2:K51)</f>
        <v>19235819</v>
      </c>
      <c r="L55" s="21"/>
      <c r="M55" s="36"/>
      <c r="N55" s="37"/>
      <c r="O55" s="21">
        <f>SUMIF(O2:O51,"&gt;0",O2:O51)</f>
        <v>7745281.4567089528</v>
      </c>
      <c r="P55" s="23">
        <f>SUMIF(P4:P51,"&gt;0",P4:P51)</f>
        <v>26009389</v>
      </c>
      <c r="Q55" s="36"/>
      <c r="R55" s="36"/>
    </row>
    <row r="56" spans="1:18" ht="15.75">
      <c r="A56" s="40"/>
      <c r="B56" s="58"/>
      <c r="C56" s="27"/>
      <c r="D56" s="41"/>
      <c r="E56" s="41"/>
      <c r="F56" s="41"/>
      <c r="G56" s="41"/>
      <c r="H56" s="41"/>
      <c r="I56" s="42"/>
      <c r="J56" s="22"/>
      <c r="K56" s="23"/>
      <c r="L56" s="23"/>
      <c r="M56" s="36"/>
      <c r="N56" s="36"/>
      <c r="O56" s="23"/>
      <c r="P56" s="23"/>
      <c r="Q56" s="36"/>
      <c r="R56" s="43"/>
    </row>
    <row r="57" spans="1:18" ht="15.75">
      <c r="A57" s="44"/>
      <c r="B57" s="59"/>
      <c r="C57" s="45"/>
      <c r="D57" s="46"/>
      <c r="E57" s="46"/>
      <c r="F57" s="46"/>
      <c r="G57" s="46"/>
      <c r="H57" s="46"/>
      <c r="I57" s="47"/>
      <c r="J57" s="48"/>
      <c r="K57" s="48"/>
      <c r="L57" s="48"/>
      <c r="P57" s="50"/>
    </row>
    <row r="58" spans="1:18" ht="15.75">
      <c r="A58" s="112" t="s">
        <v>205</v>
      </c>
      <c r="B58" s="59"/>
      <c r="C58" s="45"/>
      <c r="D58" s="46"/>
      <c r="E58" s="46"/>
      <c r="F58" s="46"/>
      <c r="G58" s="46"/>
      <c r="H58" s="46"/>
      <c r="I58" s="47"/>
      <c r="J58" s="48"/>
      <c r="K58" s="48"/>
      <c r="L58" s="48"/>
      <c r="P58" s="24"/>
    </row>
    <row r="59" spans="1:18">
      <c r="A59" s="127" t="s">
        <v>68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</row>
    <row r="60" spans="1:18">
      <c r="A60" s="26" t="s">
        <v>197</v>
      </c>
    </row>
    <row r="61" spans="1:18">
      <c r="P61" s="50"/>
    </row>
    <row r="62" spans="1:18" ht="15.75">
      <c r="B62" s="60" t="s">
        <v>69</v>
      </c>
      <c r="C62" s="51">
        <v>0.01</v>
      </c>
    </row>
    <row r="63" spans="1:18" ht="15.75">
      <c r="B63" s="60" t="s">
        <v>70</v>
      </c>
      <c r="C63" s="51">
        <v>-0.02</v>
      </c>
    </row>
    <row r="65" spans="2:3" ht="15.75">
      <c r="B65" s="60" t="s">
        <v>75</v>
      </c>
      <c r="C65" s="71">
        <v>-0.14299999999999999</v>
      </c>
    </row>
    <row r="66" spans="2:3" ht="15.75">
      <c r="B66" s="60" t="s">
        <v>71</v>
      </c>
      <c r="C66" s="72">
        <v>-0.248</v>
      </c>
    </row>
    <row r="67" spans="2:3" ht="15.75">
      <c r="B67" s="60" t="s">
        <v>72</v>
      </c>
      <c r="C67" s="72">
        <v>6.7000000000000004E-2</v>
      </c>
    </row>
    <row r="68" spans="2:3" ht="15.75">
      <c r="B68" s="60" t="s">
        <v>76</v>
      </c>
      <c r="C68" s="72">
        <v>0.107</v>
      </c>
    </row>
    <row r="69" spans="2:3" ht="15.75">
      <c r="B69" s="60" t="s">
        <v>73</v>
      </c>
      <c r="C69" s="72">
        <v>0.10199999999999999</v>
      </c>
    </row>
    <row r="70" spans="2:3" ht="15.75">
      <c r="B70" s="60" t="s">
        <v>74</v>
      </c>
      <c r="C70" s="72">
        <v>0.11700000000000001</v>
      </c>
    </row>
    <row r="72" spans="2:3">
      <c r="B72" s="69" t="s">
        <v>177</v>
      </c>
      <c r="C72" s="70">
        <v>-3.9600000000000003E-2</v>
      </c>
    </row>
    <row r="73" spans="2:3">
      <c r="B73" s="69" t="s">
        <v>178</v>
      </c>
      <c r="C73" s="70">
        <v>-0.14460000000000001</v>
      </c>
    </row>
    <row r="74" spans="2:3">
      <c r="B74" s="69" t="s">
        <v>179</v>
      </c>
      <c r="C74" s="70">
        <v>0.1704</v>
      </c>
    </row>
  </sheetData>
  <autoFilter ref="A3:R3">
    <sortState ref="A3:R50">
      <sortCondition ref="A2"/>
    </sortState>
  </autoFilter>
  <mergeCells count="4">
    <mergeCell ref="I2:K2"/>
    <mergeCell ref="A59:P59"/>
    <mergeCell ref="L2:O2"/>
    <mergeCell ref="P2:R2"/>
  </mergeCells>
  <conditionalFormatting sqref="O4:P5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K52:L52 K4:K51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.45" right="0.45" top="0.25" bottom="0.25" header="0.3" footer="0.3"/>
  <pageSetup paperSize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2B3E9DD09034DA5211586A3544BC5" ma:contentTypeVersion="1" ma:contentTypeDescription="Create a new document." ma:contentTypeScope="" ma:versionID="43757e3708807329d095c0c4118e6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B73FC5-3A58-4051-A11B-F9D6BC707E05}"/>
</file>

<file path=customXml/itemProps2.xml><?xml version="1.0" encoding="utf-8"?>
<ds:datastoreItem xmlns:ds="http://schemas.openxmlformats.org/officeDocument/2006/customXml" ds:itemID="{7BE26ED4-64F0-4F18-865D-296C87F48713}"/>
</file>

<file path=customXml/itemProps3.xml><?xml version="1.0" encoding="utf-8"?>
<ds:datastoreItem xmlns:ds="http://schemas.openxmlformats.org/officeDocument/2006/customXml" ds:itemID="{2D6964E3-2B9A-4AF8-AE62-4DE6C74A5E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Source Readmission Final</vt:lpstr>
      <vt:lpstr>Readmit Attainment</vt:lpstr>
      <vt:lpstr>RRIP Results</vt:lpstr>
      <vt:lpstr>AttMaxPenaltyScore</vt:lpstr>
      <vt:lpstr>AttMaxRewardScore</vt:lpstr>
      <vt:lpstr>AttTarget</vt:lpstr>
      <vt:lpstr>ImpMaxPenaltyScore</vt:lpstr>
      <vt:lpstr>ImpMaxRewardScore</vt:lpstr>
      <vt:lpstr>ImpTarget</vt:lpstr>
      <vt:lpstr>MaxPenalty</vt:lpstr>
      <vt:lpstr>MaxReward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Quanshay Henderson</cp:lastModifiedBy>
  <dcterms:created xsi:type="dcterms:W3CDTF">2017-08-22T17:32:20Z</dcterms:created>
  <dcterms:modified xsi:type="dcterms:W3CDTF">2019-05-29T17:37:48Z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0x0101000902B3E9DD09034DA5211586A3544BC5</vt:lpwstr>
  </property>
</Properties>
</file>