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1616" windowHeight="10296" tabRatio="849" activeTab="7"/>
  </bookViews>
  <sheets>
    <sheet name="1.Readmission Scaling" sheetId="20" r:id="rId1"/>
    <sheet name="2.RRIP Modeling Results" sheetId="21" r:id="rId2"/>
    <sheet name="3.QBR Scaling " sheetId="15" r:id="rId3"/>
    <sheet name="4.QBR Modeling Results" sheetId="13" r:id="rId4"/>
    <sheet name="5.MHAC Scaling" sheetId="10" r:id="rId5"/>
    <sheet name="6.MHAC Modeling Results" sheetId="9" r:id="rId6"/>
    <sheet name="7Aggregate Summary" sheetId="5" r:id="rId7"/>
    <sheet name="8.Consolidated" sheetId="24" r:id="rId8"/>
    <sheet name="Summary Results for all 3 progr" sheetId="4" state="hidden" r:id="rId9"/>
    <sheet name="Revenue" sheetId="12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1" hidden="1">'2.RRIP Modeling Results'!$A$2:$AD$49</definedName>
    <definedName name="_xlnm._FilterDatabase" localSheetId="5" hidden="1">'6.MHAC Modeling Results'!$A$3:$L$3</definedName>
    <definedName name="_xlnm._FilterDatabase" localSheetId="7" hidden="1">'8.Consolidated'!$A$2:$R$2</definedName>
    <definedName name="_fy13" localSheetId="1">#REF!</definedName>
    <definedName name="_fy13">#REF!</definedName>
    <definedName name="_fy14" localSheetId="1">#REF!</definedName>
    <definedName name="_fy14">#REF!</definedName>
    <definedName name="_fy15" localSheetId="1">#REF!</definedName>
    <definedName name="_fy15">#REF!</definedName>
    <definedName name="_fy152">#REF!</definedName>
    <definedName name="_xlnm.Print_Area" localSheetId="1">'2.RRIP Modeling Results'!$A$1:$AD$55</definedName>
    <definedName name="_xlnm.Print_Area">#REF!</definedName>
    <definedName name="_xlnm.Print_Titles" localSheetId="3">'4.QBR Modeling Results'!$1:$2</definedName>
    <definedName name="_xlnm.Print_Titles" localSheetId="5">'6.MHAC Modeling Results'!$1:$3</definedName>
    <definedName name="_xlnm.Print_Titles" localSheetId="7">'8.Consolidated'!$1:$2</definedName>
  </definedNames>
  <calcPr calcId="145621"/>
</workbook>
</file>

<file path=xl/calcChain.xml><?xml version="1.0" encoding="utf-8"?>
<calcChain xmlns="http://schemas.openxmlformats.org/spreadsheetml/2006/main">
  <c r="G56" i="9" l="1"/>
  <c r="B64" i="15" l="1"/>
  <c r="B4" i="15"/>
  <c r="B5" i="20" l="1"/>
  <c r="B58" i="21" l="1"/>
  <c r="C58" i="21" s="1"/>
  <c r="D58" i="21" s="1"/>
  <c r="E58" i="21" s="1"/>
  <c r="F58" i="21" s="1"/>
  <c r="G58" i="21" s="1"/>
  <c r="H58" i="21" s="1"/>
  <c r="I58" i="21" s="1"/>
  <c r="J58" i="21" s="1"/>
  <c r="K58" i="21" s="1"/>
  <c r="L58" i="21" s="1"/>
  <c r="M58" i="21" s="1"/>
  <c r="N58" i="21" s="1"/>
  <c r="O58" i="21" s="1"/>
  <c r="P58" i="21" s="1"/>
  <c r="Q58" i="21" s="1"/>
  <c r="R58" i="21" s="1"/>
  <c r="S58" i="21" s="1"/>
  <c r="T58" i="21" s="1"/>
  <c r="U58" i="21" s="1"/>
  <c r="V58" i="21" s="1"/>
  <c r="W58" i="21" s="1"/>
  <c r="X58" i="21" s="1"/>
  <c r="C42" i="24"/>
  <c r="C45" i="24"/>
  <c r="C35" i="24"/>
  <c r="C15" i="24"/>
  <c r="C36" i="24"/>
  <c r="C19" i="24"/>
  <c r="C48" i="24"/>
  <c r="C38" i="24"/>
  <c r="C43" i="24"/>
  <c r="C47" i="24"/>
  <c r="C23" i="24"/>
  <c r="C44" i="24"/>
  <c r="C29" i="24"/>
  <c r="C46" i="24"/>
  <c r="C13" i="24"/>
  <c r="C37" i="24"/>
  <c r="C39" i="24"/>
  <c r="C24" i="24"/>
  <c r="C21" i="24"/>
  <c r="C25" i="24"/>
  <c r="C41" i="24"/>
  <c r="C18" i="24"/>
  <c r="C40" i="24"/>
  <c r="C27" i="24"/>
  <c r="C28" i="24"/>
  <c r="C11" i="24"/>
  <c r="C7" i="24"/>
  <c r="C31" i="24"/>
  <c r="C12" i="24"/>
  <c r="C6" i="24"/>
  <c r="C30" i="24"/>
  <c r="C32" i="24"/>
  <c r="C22" i="24"/>
  <c r="C33" i="24"/>
  <c r="C26" i="24"/>
  <c r="C34" i="24"/>
  <c r="C10" i="24"/>
  <c r="C20" i="24"/>
  <c r="C17" i="24"/>
  <c r="C16" i="24"/>
  <c r="C9" i="24"/>
  <c r="C14" i="24"/>
  <c r="C5" i="24"/>
  <c r="C8" i="24"/>
  <c r="C4" i="24"/>
  <c r="C3" i="24"/>
  <c r="D4" i="10"/>
  <c r="J3" i="9"/>
  <c r="H56" i="13"/>
  <c r="H58" i="13"/>
  <c r="C49" i="24" l="1"/>
  <c r="C31" i="20"/>
  <c r="E12" i="20"/>
  <c r="C12" i="20"/>
  <c r="A27" i="5" l="1"/>
  <c r="B27" i="5"/>
  <c r="C27" i="5"/>
  <c r="D27" i="5"/>
  <c r="E27" i="5"/>
  <c r="F27" i="5"/>
  <c r="A28" i="5"/>
  <c r="B28" i="5"/>
  <c r="C28" i="5"/>
  <c r="D28" i="5"/>
  <c r="E28" i="5"/>
  <c r="F28" i="5"/>
  <c r="A29" i="5"/>
  <c r="B29" i="5"/>
  <c r="C29" i="5"/>
  <c r="D29" i="5"/>
  <c r="E29" i="5"/>
  <c r="F29" i="5"/>
  <c r="A30" i="5"/>
  <c r="B30" i="5"/>
  <c r="C30" i="5"/>
  <c r="D30" i="5"/>
  <c r="E30" i="5"/>
  <c r="F30" i="5"/>
  <c r="A31" i="5"/>
  <c r="B31" i="5"/>
  <c r="C31" i="5"/>
  <c r="D31" i="5"/>
  <c r="E31" i="5"/>
  <c r="F31" i="5"/>
  <c r="C24" i="5" l="1"/>
  <c r="C35" i="5" s="1"/>
  <c r="B24" i="5"/>
  <c r="B35" i="5" s="1"/>
  <c r="E19" i="5"/>
  <c r="E17" i="5"/>
  <c r="E16" i="5"/>
  <c r="C48" i="12" l="1"/>
  <c r="M49" i="21" l="1"/>
  <c r="K49" i="21"/>
  <c r="J49" i="21"/>
  <c r="G49" i="21"/>
  <c r="E49" i="21"/>
  <c r="D49" i="21"/>
  <c r="Q48" i="21"/>
  <c r="P48" i="21"/>
  <c r="N48" i="21"/>
  <c r="O48" i="21" s="1"/>
  <c r="L48" i="21"/>
  <c r="H48" i="21"/>
  <c r="I48" i="21" s="1"/>
  <c r="F48" i="21"/>
  <c r="C48" i="21"/>
  <c r="Q47" i="21"/>
  <c r="P47" i="21"/>
  <c r="N47" i="21"/>
  <c r="O47" i="21" s="1"/>
  <c r="L47" i="21"/>
  <c r="H47" i="21"/>
  <c r="I47" i="21" s="1"/>
  <c r="F47" i="21"/>
  <c r="C47" i="21"/>
  <c r="Q46" i="21"/>
  <c r="P46" i="21"/>
  <c r="N46" i="21"/>
  <c r="O46" i="21" s="1"/>
  <c r="L46" i="21"/>
  <c r="H46" i="21"/>
  <c r="I46" i="21" s="1"/>
  <c r="F46" i="21"/>
  <c r="C46" i="21"/>
  <c r="Q45" i="21"/>
  <c r="P45" i="21"/>
  <c r="N45" i="21"/>
  <c r="O45" i="21" s="1"/>
  <c r="L45" i="21"/>
  <c r="H45" i="21"/>
  <c r="I45" i="21" s="1"/>
  <c r="F45" i="21"/>
  <c r="C45" i="21"/>
  <c r="Q44" i="21"/>
  <c r="P44" i="21"/>
  <c r="N44" i="21"/>
  <c r="O44" i="21" s="1"/>
  <c r="L44" i="21"/>
  <c r="H44" i="21"/>
  <c r="I44" i="21" s="1"/>
  <c r="F44" i="21"/>
  <c r="C44" i="21"/>
  <c r="Q43" i="21"/>
  <c r="P43" i="21"/>
  <c r="N43" i="21"/>
  <c r="O43" i="21" s="1"/>
  <c r="L43" i="21"/>
  <c r="H43" i="21"/>
  <c r="I43" i="21" s="1"/>
  <c r="F43" i="21"/>
  <c r="C43" i="21"/>
  <c r="Q42" i="21"/>
  <c r="P42" i="21"/>
  <c r="N42" i="21"/>
  <c r="O42" i="21" s="1"/>
  <c r="L42" i="21"/>
  <c r="H42" i="21"/>
  <c r="I42" i="21" s="1"/>
  <c r="F42" i="21"/>
  <c r="C42" i="21"/>
  <c r="Q41" i="21"/>
  <c r="P41" i="21"/>
  <c r="N41" i="21"/>
  <c r="O41" i="21" s="1"/>
  <c r="L41" i="21"/>
  <c r="H41" i="21"/>
  <c r="I41" i="21" s="1"/>
  <c r="F41" i="21"/>
  <c r="C41" i="21"/>
  <c r="Q40" i="21"/>
  <c r="P40" i="21"/>
  <c r="N40" i="21"/>
  <c r="O40" i="21" s="1"/>
  <c r="L40" i="21"/>
  <c r="H40" i="21"/>
  <c r="I40" i="21" s="1"/>
  <c r="F40" i="21"/>
  <c r="C40" i="21"/>
  <c r="Q39" i="21"/>
  <c r="P39" i="21"/>
  <c r="N39" i="21"/>
  <c r="O39" i="21" s="1"/>
  <c r="L39" i="21"/>
  <c r="H39" i="21"/>
  <c r="I39" i="21" s="1"/>
  <c r="F39" i="21"/>
  <c r="C39" i="21"/>
  <c r="Q38" i="21"/>
  <c r="P38" i="21"/>
  <c r="N38" i="21"/>
  <c r="O38" i="21" s="1"/>
  <c r="L38" i="21"/>
  <c r="H38" i="21"/>
  <c r="I38" i="21" s="1"/>
  <c r="F38" i="21"/>
  <c r="C38" i="21"/>
  <c r="Q37" i="21"/>
  <c r="P37" i="21"/>
  <c r="N37" i="21"/>
  <c r="O37" i="21" s="1"/>
  <c r="L37" i="21"/>
  <c r="H37" i="21"/>
  <c r="I37" i="21" s="1"/>
  <c r="F37" i="21"/>
  <c r="C37" i="21"/>
  <c r="Q36" i="21"/>
  <c r="P36" i="21"/>
  <c r="N36" i="21"/>
  <c r="O36" i="21" s="1"/>
  <c r="L36" i="21"/>
  <c r="H36" i="21"/>
  <c r="I36" i="21" s="1"/>
  <c r="F36" i="21"/>
  <c r="C36" i="21"/>
  <c r="Q35" i="21"/>
  <c r="P35" i="21"/>
  <c r="N35" i="21"/>
  <c r="O35" i="21" s="1"/>
  <c r="L35" i="21"/>
  <c r="H35" i="21"/>
  <c r="I35" i="21" s="1"/>
  <c r="F35" i="21"/>
  <c r="C35" i="21"/>
  <c r="Q34" i="21"/>
  <c r="P34" i="21"/>
  <c r="N34" i="21"/>
  <c r="O34" i="21" s="1"/>
  <c r="L34" i="21"/>
  <c r="H34" i="21"/>
  <c r="I34" i="21" s="1"/>
  <c r="F34" i="21"/>
  <c r="C34" i="21"/>
  <c r="Q33" i="21"/>
  <c r="P33" i="21"/>
  <c r="N33" i="21"/>
  <c r="O33" i="21" s="1"/>
  <c r="L33" i="21"/>
  <c r="H33" i="21"/>
  <c r="I33" i="21" s="1"/>
  <c r="F33" i="21"/>
  <c r="C33" i="21"/>
  <c r="Q32" i="21"/>
  <c r="P32" i="21"/>
  <c r="N32" i="21"/>
  <c r="O32" i="21" s="1"/>
  <c r="L32" i="21"/>
  <c r="H32" i="21"/>
  <c r="I32" i="21" s="1"/>
  <c r="F32" i="21"/>
  <c r="C32" i="21"/>
  <c r="Q31" i="21"/>
  <c r="P31" i="21"/>
  <c r="N31" i="21"/>
  <c r="O31" i="21" s="1"/>
  <c r="L31" i="21"/>
  <c r="H31" i="21"/>
  <c r="I31" i="21" s="1"/>
  <c r="F31" i="21"/>
  <c r="C31" i="21"/>
  <c r="Q30" i="21"/>
  <c r="P30" i="21"/>
  <c r="N30" i="21"/>
  <c r="O30" i="21" s="1"/>
  <c r="L30" i="21"/>
  <c r="H30" i="21"/>
  <c r="I30" i="21" s="1"/>
  <c r="F30" i="21"/>
  <c r="C30" i="21"/>
  <c r="Q29" i="21"/>
  <c r="P29" i="21"/>
  <c r="N29" i="21"/>
  <c r="O29" i="21" s="1"/>
  <c r="L29" i="21"/>
  <c r="H29" i="21"/>
  <c r="I29" i="21" s="1"/>
  <c r="F29" i="21"/>
  <c r="C29" i="21"/>
  <c r="Q28" i="21"/>
  <c r="P28" i="21"/>
  <c r="N28" i="21"/>
  <c r="O28" i="21" s="1"/>
  <c r="L28" i="21"/>
  <c r="H28" i="21"/>
  <c r="I28" i="21" s="1"/>
  <c r="F28" i="21"/>
  <c r="C28" i="21"/>
  <c r="Q27" i="21"/>
  <c r="P27" i="21"/>
  <c r="N27" i="21"/>
  <c r="O27" i="21" s="1"/>
  <c r="L27" i="21"/>
  <c r="H27" i="21"/>
  <c r="I27" i="21" s="1"/>
  <c r="F27" i="21"/>
  <c r="C27" i="21"/>
  <c r="Q26" i="21"/>
  <c r="P26" i="21"/>
  <c r="N26" i="21"/>
  <c r="O26" i="21" s="1"/>
  <c r="L26" i="21"/>
  <c r="H26" i="21"/>
  <c r="I26" i="21" s="1"/>
  <c r="F26" i="21"/>
  <c r="C26" i="21"/>
  <c r="Q25" i="21"/>
  <c r="P25" i="21"/>
  <c r="N25" i="21"/>
  <c r="O25" i="21" s="1"/>
  <c r="L25" i="21"/>
  <c r="H25" i="21"/>
  <c r="I25" i="21" s="1"/>
  <c r="F25" i="21"/>
  <c r="C25" i="21"/>
  <c r="Q24" i="21"/>
  <c r="P24" i="21"/>
  <c r="N24" i="21"/>
  <c r="O24" i="21" s="1"/>
  <c r="L24" i="21"/>
  <c r="H24" i="21"/>
  <c r="I24" i="21" s="1"/>
  <c r="F24" i="21"/>
  <c r="C24" i="21"/>
  <c r="Q23" i="21"/>
  <c r="P23" i="21"/>
  <c r="N23" i="21"/>
  <c r="O23" i="21" s="1"/>
  <c r="L23" i="21"/>
  <c r="H23" i="21"/>
  <c r="I23" i="21" s="1"/>
  <c r="F23" i="21"/>
  <c r="C23" i="21"/>
  <c r="Q22" i="21"/>
  <c r="P22" i="21"/>
  <c r="N22" i="21"/>
  <c r="O22" i="21" s="1"/>
  <c r="L22" i="21"/>
  <c r="H22" i="21"/>
  <c r="I22" i="21" s="1"/>
  <c r="F22" i="21"/>
  <c r="C22" i="21"/>
  <c r="Q21" i="21"/>
  <c r="P21" i="21"/>
  <c r="N21" i="21"/>
  <c r="O21" i="21" s="1"/>
  <c r="L21" i="21"/>
  <c r="H21" i="21"/>
  <c r="I21" i="21" s="1"/>
  <c r="F21" i="21"/>
  <c r="C21" i="21"/>
  <c r="Q20" i="21"/>
  <c r="P20" i="21"/>
  <c r="N20" i="21"/>
  <c r="O20" i="21" s="1"/>
  <c r="L20" i="21"/>
  <c r="H20" i="21"/>
  <c r="I20" i="21" s="1"/>
  <c r="F20" i="21"/>
  <c r="C20" i="21"/>
  <c r="Q19" i="21"/>
  <c r="P19" i="21"/>
  <c r="N19" i="21"/>
  <c r="O19" i="21" s="1"/>
  <c r="L19" i="21"/>
  <c r="H19" i="21"/>
  <c r="I19" i="21" s="1"/>
  <c r="F19" i="21"/>
  <c r="C19" i="21"/>
  <c r="Q18" i="21"/>
  <c r="P18" i="21"/>
  <c r="N18" i="21"/>
  <c r="O18" i="21" s="1"/>
  <c r="L18" i="21"/>
  <c r="H18" i="21"/>
  <c r="I18" i="21" s="1"/>
  <c r="F18" i="21"/>
  <c r="C18" i="21"/>
  <c r="Q17" i="21"/>
  <c r="P17" i="21"/>
  <c r="N17" i="21"/>
  <c r="O17" i="21" s="1"/>
  <c r="L17" i="21"/>
  <c r="H17" i="21"/>
  <c r="I17" i="21" s="1"/>
  <c r="F17" i="21"/>
  <c r="C17" i="21"/>
  <c r="Q16" i="21"/>
  <c r="P16" i="21"/>
  <c r="N16" i="21"/>
  <c r="O16" i="21" s="1"/>
  <c r="L16" i="21"/>
  <c r="H16" i="21"/>
  <c r="I16" i="21" s="1"/>
  <c r="F16" i="21"/>
  <c r="C16" i="21"/>
  <c r="Q15" i="21"/>
  <c r="P15" i="21"/>
  <c r="N15" i="21"/>
  <c r="O15" i="21" s="1"/>
  <c r="L15" i="21"/>
  <c r="H15" i="21"/>
  <c r="I15" i="21" s="1"/>
  <c r="F15" i="21"/>
  <c r="C15" i="21"/>
  <c r="Q14" i="21"/>
  <c r="P14" i="21"/>
  <c r="N14" i="21"/>
  <c r="O14" i="21" s="1"/>
  <c r="L14" i="21"/>
  <c r="H14" i="21"/>
  <c r="I14" i="21" s="1"/>
  <c r="F14" i="21"/>
  <c r="C14" i="21"/>
  <c r="Q13" i="21"/>
  <c r="P13" i="21"/>
  <c r="N13" i="21"/>
  <c r="O13" i="21" s="1"/>
  <c r="L13" i="21"/>
  <c r="H13" i="21"/>
  <c r="I13" i="21" s="1"/>
  <c r="F13" i="21"/>
  <c r="C13" i="21"/>
  <c r="Q12" i="21"/>
  <c r="P12" i="21"/>
  <c r="N12" i="21"/>
  <c r="O12" i="21" s="1"/>
  <c r="L12" i="21"/>
  <c r="H12" i="21"/>
  <c r="I12" i="21" s="1"/>
  <c r="F12" i="21"/>
  <c r="C12" i="21"/>
  <c r="Q11" i="21"/>
  <c r="P11" i="21"/>
  <c r="N11" i="21"/>
  <c r="O11" i="21" s="1"/>
  <c r="L11" i="21"/>
  <c r="H11" i="21"/>
  <c r="I11" i="21" s="1"/>
  <c r="F11" i="21"/>
  <c r="C11" i="21"/>
  <c r="Q10" i="21"/>
  <c r="P10" i="21"/>
  <c r="N10" i="21"/>
  <c r="O10" i="21" s="1"/>
  <c r="L10" i="21"/>
  <c r="H10" i="21"/>
  <c r="I10" i="21" s="1"/>
  <c r="F10" i="21"/>
  <c r="C10" i="21"/>
  <c r="Q9" i="21"/>
  <c r="P9" i="21"/>
  <c r="N9" i="21"/>
  <c r="O9" i="21" s="1"/>
  <c r="L9" i="21"/>
  <c r="H9" i="21"/>
  <c r="I9" i="21" s="1"/>
  <c r="F9" i="21"/>
  <c r="C9" i="21"/>
  <c r="Q8" i="21"/>
  <c r="P8" i="21"/>
  <c r="N8" i="21"/>
  <c r="O8" i="21" s="1"/>
  <c r="L8" i="21"/>
  <c r="H8" i="21"/>
  <c r="I8" i="21" s="1"/>
  <c r="F8" i="21"/>
  <c r="C8" i="21"/>
  <c r="Q7" i="21"/>
  <c r="P7" i="21"/>
  <c r="N7" i="21"/>
  <c r="O7" i="21" s="1"/>
  <c r="L7" i="21"/>
  <c r="H7" i="21"/>
  <c r="I7" i="21" s="1"/>
  <c r="F7" i="21"/>
  <c r="C7" i="21"/>
  <c r="Q6" i="21"/>
  <c r="P6" i="21"/>
  <c r="N6" i="21"/>
  <c r="O6" i="21" s="1"/>
  <c r="L6" i="21"/>
  <c r="H6" i="21"/>
  <c r="I6" i="21" s="1"/>
  <c r="F6" i="21"/>
  <c r="C6" i="21"/>
  <c r="Q5" i="21"/>
  <c r="P5" i="21"/>
  <c r="N5" i="21"/>
  <c r="O5" i="21" s="1"/>
  <c r="L5" i="21"/>
  <c r="H5" i="21"/>
  <c r="I5" i="21" s="1"/>
  <c r="F5" i="21"/>
  <c r="C5" i="21"/>
  <c r="Q4" i="21"/>
  <c r="P4" i="21"/>
  <c r="N4" i="21"/>
  <c r="O4" i="21" s="1"/>
  <c r="L4" i="21"/>
  <c r="H4" i="21"/>
  <c r="I4" i="21" s="1"/>
  <c r="F4" i="21"/>
  <c r="C4" i="21"/>
  <c r="Q3" i="21"/>
  <c r="P3" i="21"/>
  <c r="N3" i="21"/>
  <c r="O3" i="21" s="1"/>
  <c r="L3" i="21"/>
  <c r="H3" i="21"/>
  <c r="I3" i="21" s="1"/>
  <c r="F3" i="21"/>
  <c r="C3" i="21"/>
  <c r="E32" i="20"/>
  <c r="C32" i="20"/>
  <c r="D31" i="20"/>
  <c r="A27" i="20"/>
  <c r="F27" i="20" s="1"/>
  <c r="F26" i="20"/>
  <c r="F25" i="20"/>
  <c r="F24" i="20"/>
  <c r="A14" i="20"/>
  <c r="F13" i="20"/>
  <c r="L49" i="21" l="1"/>
  <c r="Q49" i="21"/>
  <c r="H49" i="21"/>
  <c r="I49" i="21" s="1"/>
  <c r="B8" i="20" s="1"/>
  <c r="P49" i="21"/>
  <c r="A28" i="20"/>
  <c r="A29" i="20" s="1"/>
  <c r="A30" i="20" s="1"/>
  <c r="N49" i="21"/>
  <c r="O49" i="21" s="1"/>
  <c r="F49" i="21"/>
  <c r="R3" i="21"/>
  <c r="S3" i="21" s="1"/>
  <c r="R6" i="21"/>
  <c r="S6" i="21" s="1"/>
  <c r="R7" i="21"/>
  <c r="V7" i="21" s="1"/>
  <c r="W7" i="21" s="1"/>
  <c r="R10" i="21"/>
  <c r="T10" i="21" s="1"/>
  <c r="U10" i="21" s="1"/>
  <c r="R11" i="21"/>
  <c r="V11" i="21" s="1"/>
  <c r="W11" i="21" s="1"/>
  <c r="R12" i="21"/>
  <c r="R14" i="21"/>
  <c r="S14" i="21" s="1"/>
  <c r="R18" i="21"/>
  <c r="S18" i="21" s="1"/>
  <c r="R22" i="21"/>
  <c r="V22" i="21" s="1"/>
  <c r="R26" i="21"/>
  <c r="S26" i="21" s="1"/>
  <c r="R29" i="21"/>
  <c r="T29" i="21" s="1"/>
  <c r="U29" i="21" s="1"/>
  <c r="R42" i="21"/>
  <c r="V42" i="21" s="1"/>
  <c r="W42" i="21" s="1"/>
  <c r="R45" i="21"/>
  <c r="S45" i="21" s="1"/>
  <c r="R13" i="21"/>
  <c r="T13" i="21" s="1"/>
  <c r="U13" i="21" s="1"/>
  <c r="R5" i="21"/>
  <c r="T5" i="21" s="1"/>
  <c r="U5" i="21" s="1"/>
  <c r="R9" i="21"/>
  <c r="V9" i="21" s="1"/>
  <c r="W9" i="21" s="1"/>
  <c r="R38" i="21"/>
  <c r="T38" i="21" s="1"/>
  <c r="U38" i="21" s="1"/>
  <c r="R43" i="21"/>
  <c r="T43" i="21" s="1"/>
  <c r="U43" i="21" s="1"/>
  <c r="R46" i="21"/>
  <c r="T46" i="21" s="1"/>
  <c r="U46" i="21" s="1"/>
  <c r="R32" i="21"/>
  <c r="S32" i="21" s="1"/>
  <c r="R33" i="21"/>
  <c r="S33" i="21" s="1"/>
  <c r="R34" i="21"/>
  <c r="T34" i="21" s="1"/>
  <c r="U34" i="21" s="1"/>
  <c r="R37" i="21"/>
  <c r="V37" i="21" s="1"/>
  <c r="W37" i="21" s="1"/>
  <c r="R15" i="21"/>
  <c r="V15" i="21" s="1"/>
  <c r="W15" i="21" s="1"/>
  <c r="R17" i="21"/>
  <c r="V17" i="21" s="1"/>
  <c r="W17" i="21" s="1"/>
  <c r="R21" i="21"/>
  <c r="T21" i="21" s="1"/>
  <c r="U21" i="21" s="1"/>
  <c r="R23" i="21"/>
  <c r="V23" i="21" s="1"/>
  <c r="W23" i="21" s="1"/>
  <c r="R25" i="21"/>
  <c r="S25" i="21" s="1"/>
  <c r="R40" i="21"/>
  <c r="R30" i="21"/>
  <c r="V30" i="21" s="1"/>
  <c r="AB30" i="21" s="1"/>
  <c r="AC30" i="21" s="1"/>
  <c r="R41" i="21"/>
  <c r="T41" i="21" s="1"/>
  <c r="U41" i="21" s="1"/>
  <c r="V5" i="21"/>
  <c r="W5" i="21" s="1"/>
  <c r="T6" i="21"/>
  <c r="U6" i="21" s="1"/>
  <c r="V6" i="21"/>
  <c r="A31" i="20"/>
  <c r="E29" i="20" s="1"/>
  <c r="F30" i="20"/>
  <c r="E27" i="20"/>
  <c r="E24" i="20"/>
  <c r="R4" i="21"/>
  <c r="S4" i="21" s="1"/>
  <c r="R8" i="21"/>
  <c r="S8" i="21" s="1"/>
  <c r="R19" i="21"/>
  <c r="T26" i="21"/>
  <c r="U26" i="21" s="1"/>
  <c r="V26" i="21"/>
  <c r="R27" i="21"/>
  <c r="T37" i="21"/>
  <c r="U37" i="21" s="1"/>
  <c r="F29" i="20"/>
  <c r="A15" i="20"/>
  <c r="S5" i="21"/>
  <c r="S12" i="21"/>
  <c r="R16" i="21"/>
  <c r="S16" i="21" s="1"/>
  <c r="R24" i="21"/>
  <c r="S24" i="21" s="1"/>
  <c r="T42" i="21"/>
  <c r="U42" i="21" s="1"/>
  <c r="F28" i="20"/>
  <c r="V12" i="21"/>
  <c r="W12" i="21" s="1"/>
  <c r="T12" i="21"/>
  <c r="U12" i="21" s="1"/>
  <c r="F14" i="20"/>
  <c r="E25" i="20"/>
  <c r="E26" i="20"/>
  <c r="R20" i="21"/>
  <c r="R28" i="21"/>
  <c r="S28" i="21" s="1"/>
  <c r="R35" i="21"/>
  <c r="R31" i="21"/>
  <c r="S31" i="21" s="1"/>
  <c r="S37" i="21"/>
  <c r="R39" i="21"/>
  <c r="C49" i="21"/>
  <c r="R36" i="21"/>
  <c r="R47" i="21"/>
  <c r="S47" i="21" s="1"/>
  <c r="S42" i="21"/>
  <c r="R44" i="21"/>
  <c r="S44" i="21" s="1"/>
  <c r="R48" i="21"/>
  <c r="D5" i="20" l="1"/>
  <c r="B12" i="20" s="1"/>
  <c r="D4" i="20"/>
  <c r="E28" i="20"/>
  <c r="R49" i="21"/>
  <c r="AD49" i="21" s="1"/>
  <c r="V25" i="21"/>
  <c r="W25" i="21" s="1"/>
  <c r="T45" i="21"/>
  <c r="U45" i="21" s="1"/>
  <c r="W30" i="21"/>
  <c r="S7" i="21"/>
  <c r="AD30" i="21"/>
  <c r="S21" i="21"/>
  <c r="T30" i="21"/>
  <c r="U30" i="21" s="1"/>
  <c r="T25" i="21"/>
  <c r="U25" i="21" s="1"/>
  <c r="S43" i="21"/>
  <c r="S30" i="21"/>
  <c r="T22" i="21"/>
  <c r="U22" i="21" s="1"/>
  <c r="S11" i="21"/>
  <c r="S17" i="21"/>
  <c r="V21" i="21"/>
  <c r="AB21" i="21" s="1"/>
  <c r="AC21" i="21" s="1"/>
  <c r="S38" i="21"/>
  <c r="S41" i="21"/>
  <c r="V38" i="21"/>
  <c r="W38" i="21" s="1"/>
  <c r="AD15" i="21"/>
  <c r="T17" i="21"/>
  <c r="U17" i="21" s="1"/>
  <c r="S22" i="21"/>
  <c r="B25" i="20"/>
  <c r="B29" i="20"/>
  <c r="B31" i="20"/>
  <c r="B28" i="20"/>
  <c r="B14" i="20"/>
  <c r="B26" i="20"/>
  <c r="B30" i="20"/>
  <c r="B15" i="20"/>
  <c r="B27" i="20"/>
  <c r="B24" i="20"/>
  <c r="B13" i="20"/>
  <c r="T9" i="21"/>
  <c r="U9" i="21" s="1"/>
  <c r="T3" i="21"/>
  <c r="U3" i="21" s="1"/>
  <c r="T32" i="21"/>
  <c r="U32" i="21" s="1"/>
  <c r="V45" i="21"/>
  <c r="W45" i="21" s="1"/>
  <c r="S9" i="21"/>
  <c r="V3" i="21"/>
  <c r="X3" i="21" s="1"/>
  <c r="V33" i="21"/>
  <c r="W33" i="21" s="1"/>
  <c r="T33" i="21"/>
  <c r="U33" i="21" s="1"/>
  <c r="V14" i="21"/>
  <c r="Z14" i="21" s="1"/>
  <c r="AA14" i="21" s="1"/>
  <c r="T11" i="21"/>
  <c r="U11" i="21" s="1"/>
  <c r="S46" i="21"/>
  <c r="V43" i="21"/>
  <c r="AD43" i="21" s="1"/>
  <c r="T14" i="21"/>
  <c r="U14" i="21" s="1"/>
  <c r="S10" i="21"/>
  <c r="V13" i="21"/>
  <c r="V46" i="21"/>
  <c r="Z46" i="21" s="1"/>
  <c r="AA46" i="21" s="1"/>
  <c r="S13" i="21"/>
  <c r="V29" i="21"/>
  <c r="W29" i="21" s="1"/>
  <c r="V18" i="21"/>
  <c r="AB18" i="21" s="1"/>
  <c r="AC18" i="21" s="1"/>
  <c r="V10" i="21"/>
  <c r="AB10" i="21" s="1"/>
  <c r="AC10" i="21" s="1"/>
  <c r="T7" i="21"/>
  <c r="U7" i="21" s="1"/>
  <c r="S34" i="21"/>
  <c r="S29" i="21"/>
  <c r="V34" i="21"/>
  <c r="W34" i="21" s="1"/>
  <c r="AB15" i="21"/>
  <c r="AC15" i="21" s="1"/>
  <c r="T23" i="21"/>
  <c r="U23" i="21" s="1"/>
  <c r="T18" i="21"/>
  <c r="U18" i="21" s="1"/>
  <c r="S49" i="21"/>
  <c r="V32" i="21"/>
  <c r="W32" i="21" s="1"/>
  <c r="Z15" i="21"/>
  <c r="AA15" i="21" s="1"/>
  <c r="S23" i="21"/>
  <c r="S15" i="21"/>
  <c r="AB23" i="21"/>
  <c r="AC23" i="21" s="1"/>
  <c r="AD23" i="21"/>
  <c r="X15" i="21"/>
  <c r="T15" i="21"/>
  <c r="U15" i="21" s="1"/>
  <c r="V40" i="21"/>
  <c r="T40" i="21"/>
  <c r="U40" i="21" s="1"/>
  <c r="S40" i="21"/>
  <c r="V41" i="21"/>
  <c r="W41" i="21" s="1"/>
  <c r="V36" i="21"/>
  <c r="T36" i="21"/>
  <c r="U36" i="21" s="1"/>
  <c r="V35" i="21"/>
  <c r="T35" i="21"/>
  <c r="U35" i="21" s="1"/>
  <c r="V20" i="21"/>
  <c r="T20" i="21"/>
  <c r="U20" i="21" s="1"/>
  <c r="AB33" i="21"/>
  <c r="AC33" i="21" s="1"/>
  <c r="V19" i="21"/>
  <c r="T19" i="21"/>
  <c r="U19" i="21" s="1"/>
  <c r="S35" i="21"/>
  <c r="V49" i="21"/>
  <c r="W49" i="21" s="1"/>
  <c r="K59" i="21" s="1"/>
  <c r="V39" i="21"/>
  <c r="T39" i="21"/>
  <c r="U39" i="21" s="1"/>
  <c r="V31" i="21"/>
  <c r="T31" i="21"/>
  <c r="U31" i="21" s="1"/>
  <c r="S20" i="21"/>
  <c r="V16" i="21"/>
  <c r="T16" i="21"/>
  <c r="U16" i="21" s="1"/>
  <c r="S39" i="21"/>
  <c r="AD18" i="21"/>
  <c r="W18" i="21"/>
  <c r="X21" i="21"/>
  <c r="AD21" i="21"/>
  <c r="AB7" i="21"/>
  <c r="AC7" i="21" s="1"/>
  <c r="Z7" i="21"/>
  <c r="AA7" i="21" s="1"/>
  <c r="AD7" i="21"/>
  <c r="X7" i="21"/>
  <c r="V48" i="21"/>
  <c r="T48" i="21"/>
  <c r="U48" i="21" s="1"/>
  <c r="S36" i="21"/>
  <c r="S48" i="21"/>
  <c r="V47" i="21"/>
  <c r="T47" i="21"/>
  <c r="U47" i="21" s="1"/>
  <c r="AD38" i="21"/>
  <c r="V28" i="21"/>
  <c r="T28" i="21"/>
  <c r="U28" i="21" s="1"/>
  <c r="AB22" i="21"/>
  <c r="AC22" i="21" s="1"/>
  <c r="X22" i="21"/>
  <c r="AD22" i="21"/>
  <c r="Z22" i="21"/>
  <c r="AA22" i="21" s="1"/>
  <c r="W22" i="21"/>
  <c r="V27" i="21"/>
  <c r="T27" i="21"/>
  <c r="U27" i="21" s="1"/>
  <c r="V4" i="21"/>
  <c r="T4" i="21"/>
  <c r="U4" i="21" s="1"/>
  <c r="AB6" i="21"/>
  <c r="AC6" i="21" s="1"/>
  <c r="X6" i="21"/>
  <c r="Z6" i="21"/>
  <c r="AA6" i="21" s="1"/>
  <c r="AD6" i="21"/>
  <c r="Z5" i="21"/>
  <c r="AA5" i="21" s="1"/>
  <c r="AD5" i="21"/>
  <c r="X5" i="21"/>
  <c r="AB5" i="21"/>
  <c r="AC5" i="21" s="1"/>
  <c r="AD45" i="21"/>
  <c r="V44" i="21"/>
  <c r="T44" i="21"/>
  <c r="U44" i="21" s="1"/>
  <c r="AD41" i="21"/>
  <c r="AD34" i="21"/>
  <c r="S27" i="21"/>
  <c r="S19" i="21"/>
  <c r="AD12" i="21"/>
  <c r="Z12" i="21"/>
  <c r="AA12" i="21" s="1"/>
  <c r="AB12" i="21"/>
  <c r="AC12" i="21" s="1"/>
  <c r="X12" i="21"/>
  <c r="AD42" i="21"/>
  <c r="V24" i="21"/>
  <c r="T24" i="21"/>
  <c r="U24" i="21" s="1"/>
  <c r="F15" i="20"/>
  <c r="A16" i="20"/>
  <c r="B16" i="20" s="1"/>
  <c r="AB37" i="21"/>
  <c r="AC37" i="21" s="1"/>
  <c r="AD37" i="21"/>
  <c r="AB26" i="21"/>
  <c r="AC26" i="21" s="1"/>
  <c r="AD26" i="21"/>
  <c r="W26" i="21"/>
  <c r="V8" i="21"/>
  <c r="T8" i="21"/>
  <c r="U8" i="21" s="1"/>
  <c r="AB25" i="21"/>
  <c r="AC25" i="21" s="1"/>
  <c r="AD25" i="21"/>
  <c r="AB17" i="21"/>
  <c r="AC17" i="21" s="1"/>
  <c r="X17" i="21"/>
  <c r="AD17" i="21"/>
  <c r="Z17" i="21"/>
  <c r="AA17" i="21" s="1"/>
  <c r="F31" i="20"/>
  <c r="D30" i="20" s="1"/>
  <c r="E30" i="20"/>
  <c r="E31" i="20"/>
  <c r="Z9" i="21"/>
  <c r="AA9" i="21" s="1"/>
  <c r="AD9" i="21"/>
  <c r="X9" i="21"/>
  <c r="AB9" i="21"/>
  <c r="AC9" i="21" s="1"/>
  <c r="W6" i="21"/>
  <c r="AB11" i="21"/>
  <c r="AC11" i="21" s="1"/>
  <c r="Z11" i="21"/>
  <c r="AA11" i="21" s="1"/>
  <c r="AD11" i="21"/>
  <c r="X11" i="21"/>
  <c r="AD46" i="21" l="1"/>
  <c r="X14" i="21"/>
  <c r="Y14" i="21" s="1"/>
  <c r="C28" i="20"/>
  <c r="Z30" i="21"/>
  <c r="AA30" i="21" s="1"/>
  <c r="X25" i="21"/>
  <c r="AB41" i="21"/>
  <c r="AC41" i="21" s="1"/>
  <c r="Y3" i="21"/>
  <c r="G42" i="24"/>
  <c r="G23" i="24"/>
  <c r="Y6" i="21"/>
  <c r="G35" i="24"/>
  <c r="Y15" i="21"/>
  <c r="G22" i="24"/>
  <c r="Y9" i="21"/>
  <c r="G20" i="24"/>
  <c r="Y17" i="21"/>
  <c r="G40" i="24"/>
  <c r="Y12" i="21"/>
  <c r="G25" i="24"/>
  <c r="Y7" i="21"/>
  <c r="G33" i="24"/>
  <c r="Y5" i="21"/>
  <c r="G44" i="24"/>
  <c r="Y22" i="21"/>
  <c r="G38" i="24"/>
  <c r="Y21" i="21"/>
  <c r="G41" i="24"/>
  <c r="Y11" i="21"/>
  <c r="G31" i="24"/>
  <c r="AB3" i="21"/>
  <c r="AC3" i="21" s="1"/>
  <c r="Z45" i="21"/>
  <c r="AA45" i="21" s="1"/>
  <c r="AB34" i="21"/>
  <c r="AC34" i="21" s="1"/>
  <c r="X46" i="21"/>
  <c r="X45" i="21"/>
  <c r="AD32" i="21"/>
  <c r="X32" i="21" s="1"/>
  <c r="W46" i="21"/>
  <c r="W3" i="21"/>
  <c r="W21" i="21"/>
  <c r="AD14" i="21"/>
  <c r="Z21" i="21"/>
  <c r="AA21" i="21" s="1"/>
  <c r="Z18" i="21"/>
  <c r="AA18" i="21" s="1"/>
  <c r="AD33" i="21"/>
  <c r="Z33" i="21" s="1"/>
  <c r="AA33" i="21" s="1"/>
  <c r="AB14" i="21"/>
  <c r="AC14" i="21" s="1"/>
  <c r="AB42" i="21"/>
  <c r="AC42" i="21" s="1"/>
  <c r="AB29" i="21"/>
  <c r="AC29" i="21" s="1"/>
  <c r="AD3" i="21"/>
  <c r="X43" i="21"/>
  <c r="X34" i="21"/>
  <c r="Z25" i="21"/>
  <c r="AA25" i="21" s="1"/>
  <c r="Z37" i="21"/>
  <c r="AA37" i="21" s="1"/>
  <c r="D28" i="20"/>
  <c r="Z3" i="21"/>
  <c r="AA3" i="21" s="1"/>
  <c r="C29" i="20"/>
  <c r="Z26" i="21"/>
  <c r="AA26" i="21" s="1"/>
  <c r="D14" i="20"/>
  <c r="AD29" i="21"/>
  <c r="X29" i="21" s="1"/>
  <c r="Z38" i="21"/>
  <c r="AA38" i="21" s="1"/>
  <c r="AB32" i="21"/>
  <c r="AC32" i="21" s="1"/>
  <c r="AD10" i="21"/>
  <c r="W43" i="21"/>
  <c r="W10" i="21"/>
  <c r="X18" i="21"/>
  <c r="Z10" i="21"/>
  <c r="AA10" i="21" s="1"/>
  <c r="X10" i="21"/>
  <c r="W14" i="21"/>
  <c r="AD13" i="21"/>
  <c r="AB13" i="21"/>
  <c r="AC13" i="21" s="1"/>
  <c r="X13" i="21"/>
  <c r="W13" i="21"/>
  <c r="Z13" i="21"/>
  <c r="AA13" i="21" s="1"/>
  <c r="U49" i="21"/>
  <c r="Z41" i="21"/>
  <c r="AA41" i="21" s="1"/>
  <c r="W40" i="21"/>
  <c r="AD40" i="21"/>
  <c r="Z40" i="21" s="1"/>
  <c r="AA40" i="21" s="1"/>
  <c r="AD27" i="21"/>
  <c r="X27" i="21" s="1"/>
  <c r="AB27" i="21"/>
  <c r="AC27" i="21" s="1"/>
  <c r="W27" i="21"/>
  <c r="Z47" i="21"/>
  <c r="AA47" i="21" s="1"/>
  <c r="AD47" i="21"/>
  <c r="X47" i="21"/>
  <c r="AB47" i="21"/>
  <c r="AC47" i="21" s="1"/>
  <c r="W47" i="21"/>
  <c r="AD48" i="21"/>
  <c r="Z48" i="21"/>
  <c r="AA48" i="21" s="1"/>
  <c r="AB48" i="21"/>
  <c r="AC48" i="21" s="1"/>
  <c r="X48" i="21"/>
  <c r="W48" i="21"/>
  <c r="AD19" i="21"/>
  <c r="Z19" i="21"/>
  <c r="AA19" i="21" s="1"/>
  <c r="AB19" i="21"/>
  <c r="AC19" i="21" s="1"/>
  <c r="X19" i="21"/>
  <c r="W19" i="21"/>
  <c r="AD20" i="21"/>
  <c r="Z20" i="21"/>
  <c r="AA20" i="21" s="1"/>
  <c r="AB20" i="21"/>
  <c r="AC20" i="21" s="1"/>
  <c r="X20" i="21"/>
  <c r="W20" i="21"/>
  <c r="X26" i="21"/>
  <c r="C15" i="20"/>
  <c r="D15" i="20"/>
  <c r="Z34" i="21"/>
  <c r="AA34" i="21" s="1"/>
  <c r="AB46" i="21"/>
  <c r="AC46" i="21" s="1"/>
  <c r="AD44" i="21"/>
  <c r="X44" i="21" s="1"/>
  <c r="W44" i="21"/>
  <c r="AD4" i="21"/>
  <c r="Z4" i="21"/>
  <c r="AA4" i="21" s="1"/>
  <c r="X4" i="21"/>
  <c r="AB4" i="21"/>
  <c r="AC4" i="21" s="1"/>
  <c r="W4" i="21"/>
  <c r="X38" i="21"/>
  <c r="AD39" i="21"/>
  <c r="X39" i="21" s="1"/>
  <c r="W39" i="21"/>
  <c r="Z43" i="21"/>
  <c r="AA43" i="21" s="1"/>
  <c r="AD36" i="21"/>
  <c r="Z36" i="21" s="1"/>
  <c r="AA36" i="21" s="1"/>
  <c r="AB36" i="21"/>
  <c r="AC36" i="21" s="1"/>
  <c r="W36" i="21"/>
  <c r="Z42" i="21"/>
  <c r="AA42" i="21" s="1"/>
  <c r="AD28" i="21"/>
  <c r="X28" i="21" s="1"/>
  <c r="AB28" i="21"/>
  <c r="AC28" i="21" s="1"/>
  <c r="W28" i="21"/>
  <c r="D29" i="20"/>
  <c r="AB43" i="21"/>
  <c r="AC43" i="21" s="1"/>
  <c r="X23" i="21"/>
  <c r="A17" i="20"/>
  <c r="B17" i="20" s="1"/>
  <c r="F16" i="20"/>
  <c r="AD8" i="21"/>
  <c r="Z8" i="21"/>
  <c r="AA8" i="21" s="1"/>
  <c r="X8" i="21"/>
  <c r="AB8" i="21"/>
  <c r="AC8" i="21" s="1"/>
  <c r="W8" i="21"/>
  <c r="X37" i="21"/>
  <c r="X42" i="21"/>
  <c r="X41" i="21"/>
  <c r="AB45" i="21"/>
  <c r="AC45" i="21" s="1"/>
  <c r="AB38" i="21"/>
  <c r="AC38" i="21" s="1"/>
  <c r="D13" i="20"/>
  <c r="D27" i="20"/>
  <c r="C25" i="20"/>
  <c r="D26" i="20"/>
  <c r="C24" i="20"/>
  <c r="C27" i="20"/>
  <c r="C26" i="20"/>
  <c r="D25" i="20"/>
  <c r="D24" i="20"/>
  <c r="Z23" i="21"/>
  <c r="AA23" i="21" s="1"/>
  <c r="X30" i="21"/>
  <c r="C13" i="20"/>
  <c r="AD24" i="21"/>
  <c r="X24" i="21" s="1"/>
  <c r="AB24" i="21"/>
  <c r="AC24" i="21" s="1"/>
  <c r="W24" i="21"/>
  <c r="C14" i="20"/>
  <c r="C30" i="20"/>
  <c r="AD16" i="21"/>
  <c r="Z16" i="21"/>
  <c r="AA16" i="21" s="1"/>
  <c r="AB16" i="21"/>
  <c r="AC16" i="21" s="1"/>
  <c r="X16" i="21"/>
  <c r="W16" i="21"/>
  <c r="AD31" i="21"/>
  <c r="X31" i="21" s="1"/>
  <c r="AB31" i="21"/>
  <c r="AC31" i="21" s="1"/>
  <c r="W31" i="21"/>
  <c r="AD35" i="21"/>
  <c r="X35" i="21" s="1"/>
  <c r="AB35" i="21"/>
  <c r="AC35" i="21" s="1"/>
  <c r="W35" i="21"/>
  <c r="X33" i="21" l="1"/>
  <c r="G46" i="24"/>
  <c r="Y25" i="21"/>
  <c r="Z39" i="21"/>
  <c r="AA39" i="21" s="1"/>
  <c r="Z29" i="21"/>
  <c r="AA29" i="21" s="1"/>
  <c r="Y16" i="21"/>
  <c r="G34" i="24"/>
  <c r="Y42" i="21"/>
  <c r="G18" i="24"/>
  <c r="Y48" i="21"/>
  <c r="G13" i="24"/>
  <c r="Y10" i="21"/>
  <c r="G27" i="24"/>
  <c r="Y46" i="21"/>
  <c r="G4" i="24"/>
  <c r="Y47" i="21"/>
  <c r="G6" i="24"/>
  <c r="Y32" i="21"/>
  <c r="G36" i="24"/>
  <c r="Y24" i="21"/>
  <c r="G43" i="24"/>
  <c r="Y8" i="21"/>
  <c r="G45" i="24"/>
  <c r="Y33" i="21"/>
  <c r="G17" i="24"/>
  <c r="Y38" i="21"/>
  <c r="G16" i="24"/>
  <c r="Y26" i="21"/>
  <c r="G26" i="24"/>
  <c r="Y13" i="21"/>
  <c r="G28" i="24"/>
  <c r="Y29" i="21"/>
  <c r="G24" i="24"/>
  <c r="Y34" i="21"/>
  <c r="G37" i="24"/>
  <c r="Y37" i="21"/>
  <c r="G19" i="24"/>
  <c r="Y23" i="21"/>
  <c r="G47" i="24"/>
  <c r="Y43" i="21"/>
  <c r="G7" i="24"/>
  <c r="Y31" i="21"/>
  <c r="G21" i="24"/>
  <c r="Y30" i="21"/>
  <c r="G9" i="24"/>
  <c r="Y28" i="21"/>
  <c r="G5" i="24"/>
  <c r="Y20" i="21"/>
  <c r="G14" i="24"/>
  <c r="Y18" i="21"/>
  <c r="G32" i="24"/>
  <c r="Y35" i="21"/>
  <c r="G8" i="24"/>
  <c r="Y41" i="21"/>
  <c r="G11" i="24"/>
  <c r="Y39" i="21"/>
  <c r="G29" i="24"/>
  <c r="Y4" i="21"/>
  <c r="G48" i="24"/>
  <c r="Y44" i="21"/>
  <c r="G15" i="24"/>
  <c r="Y19" i="21"/>
  <c r="G39" i="24"/>
  <c r="Y27" i="21"/>
  <c r="G30" i="24"/>
  <c r="Y45" i="21"/>
  <c r="G3" i="24"/>
  <c r="Z32" i="21"/>
  <c r="AA32" i="21" s="1"/>
  <c r="AB40" i="21"/>
  <c r="AC40" i="21" s="1"/>
  <c r="X40" i="21"/>
  <c r="Z28" i="21"/>
  <c r="AA28" i="21" s="1"/>
  <c r="Z24" i="21"/>
  <c r="AA24" i="21" s="1"/>
  <c r="Z35" i="21"/>
  <c r="AA35" i="21" s="1"/>
  <c r="Z31" i="21"/>
  <c r="AA31" i="21" s="1"/>
  <c r="AB39" i="21"/>
  <c r="AC39" i="21" s="1"/>
  <c r="Z27" i="21"/>
  <c r="AA27" i="21" s="1"/>
  <c r="X36" i="21"/>
  <c r="AB44" i="21"/>
  <c r="AC44" i="21" s="1"/>
  <c r="Z44" i="21"/>
  <c r="AA44" i="21" s="1"/>
  <c r="A18" i="20"/>
  <c r="B18" i="20" s="1"/>
  <c r="F17" i="20"/>
  <c r="D16" i="20"/>
  <c r="C16" i="20"/>
  <c r="Y40" i="21" l="1"/>
  <c r="G12" i="24"/>
  <c r="Y36" i="21"/>
  <c r="G10" i="24"/>
  <c r="AC51" i="21"/>
  <c r="AC50" i="21"/>
  <c r="AA51" i="21"/>
  <c r="E18" i="5"/>
  <c r="AA50" i="21"/>
  <c r="AC49" i="21"/>
  <c r="AA49" i="21"/>
  <c r="A19" i="20"/>
  <c r="B19" i="20" s="1"/>
  <c r="F18" i="20"/>
  <c r="C17" i="20"/>
  <c r="D17" i="20"/>
  <c r="J9" i="5" l="1"/>
  <c r="J10" i="5"/>
  <c r="K10" i="5"/>
  <c r="K9" i="5"/>
  <c r="Y49" i="21"/>
  <c r="Y50" i="21"/>
  <c r="Y51" i="21"/>
  <c r="E22" i="5"/>
  <c r="F19" i="20"/>
  <c r="A20" i="20"/>
  <c r="B20" i="20" s="1"/>
  <c r="D18" i="20"/>
  <c r="C18" i="20"/>
  <c r="L10" i="5" l="1"/>
  <c r="L9" i="5"/>
  <c r="J8" i="5"/>
  <c r="K8" i="5"/>
  <c r="D19" i="20"/>
  <c r="C19" i="20"/>
  <c r="F20" i="20"/>
  <c r="A21" i="20"/>
  <c r="B21" i="20" s="1"/>
  <c r="L8" i="5" l="1"/>
  <c r="D20" i="20"/>
  <c r="C20" i="20"/>
  <c r="F21" i="20"/>
  <c r="A22" i="20"/>
  <c r="B22" i="20" s="1"/>
  <c r="C21" i="20" l="1"/>
  <c r="D21" i="20"/>
  <c r="A23" i="20"/>
  <c r="B23" i="20" s="1"/>
  <c r="F22" i="20"/>
  <c r="F23" i="20" l="1"/>
  <c r="C22" i="20"/>
  <c r="D22" i="20"/>
  <c r="C23" i="20" l="1"/>
  <c r="D23" i="20"/>
  <c r="H3" i="13" l="1"/>
  <c r="F5" i="24" s="1"/>
  <c r="C4" i="15" l="1"/>
  <c r="B5" i="15"/>
  <c r="B6" i="15" s="1"/>
  <c r="B7" i="15" s="1"/>
  <c r="B8" i="15" s="1"/>
  <c r="B9" i="15" s="1"/>
  <c r="E3" i="13"/>
  <c r="D18" i="5"/>
  <c r="D24" i="5" s="1"/>
  <c r="D35" i="5" s="1"/>
  <c r="C2" i="13"/>
  <c r="H55" i="13"/>
  <c r="C3" i="13"/>
  <c r="I3" i="13" s="1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4" i="10"/>
  <c r="F3" i="9" s="1"/>
  <c r="C66" i="15" l="1"/>
  <c r="C67" i="15" s="1"/>
  <c r="H57" i="13"/>
  <c r="E4" i="13"/>
  <c r="F4" i="13" s="1"/>
  <c r="E45" i="13"/>
  <c r="F45" i="13" s="1"/>
  <c r="E39" i="13"/>
  <c r="F39" i="13" s="1"/>
  <c r="C2" i="21"/>
  <c r="C5" i="15"/>
  <c r="C6" i="15"/>
  <c r="E44" i="13"/>
  <c r="F44" i="13" s="1"/>
  <c r="C7" i="15"/>
  <c r="C8" i="15"/>
  <c r="C9" i="15"/>
  <c r="B10" i="15"/>
  <c r="E28" i="13"/>
  <c r="F28" i="13" s="1"/>
  <c r="E42" i="13"/>
  <c r="F42" i="13" s="1"/>
  <c r="E5" i="13"/>
  <c r="F5" i="13" s="1"/>
  <c r="E12" i="13"/>
  <c r="F12" i="13" s="1"/>
  <c r="E43" i="13"/>
  <c r="F43" i="13" s="1"/>
  <c r="F3" i="13"/>
  <c r="E27" i="13"/>
  <c r="F27" i="13" s="1"/>
  <c r="E16" i="13"/>
  <c r="F16" i="13" s="1"/>
  <c r="E33" i="13"/>
  <c r="F33" i="13" s="1"/>
  <c r="E17" i="13"/>
  <c r="F17" i="13" s="1"/>
  <c r="E7" i="13"/>
  <c r="F7" i="13" s="1"/>
  <c r="E23" i="13"/>
  <c r="F23" i="13" s="1"/>
  <c r="E37" i="13"/>
  <c r="F37" i="13" s="1"/>
  <c r="C46" i="13"/>
  <c r="E11" i="13"/>
  <c r="F11" i="13" s="1"/>
  <c r="E21" i="13"/>
  <c r="F21" i="13" s="1"/>
  <c r="E32" i="13"/>
  <c r="F32" i="13" s="1"/>
  <c r="E35" i="13"/>
  <c r="F35" i="13" s="1"/>
  <c r="E8" i="13"/>
  <c r="F8" i="13" s="1"/>
  <c r="E13" i="13"/>
  <c r="F13" i="13" s="1"/>
  <c r="E19" i="13"/>
  <c r="F19" i="13" s="1"/>
  <c r="E24" i="13"/>
  <c r="F24" i="13" s="1"/>
  <c r="E29" i="13"/>
  <c r="F29" i="13" s="1"/>
  <c r="E40" i="13"/>
  <c r="F40" i="13" s="1"/>
  <c r="E9" i="13"/>
  <c r="F9" i="13" s="1"/>
  <c r="E15" i="13"/>
  <c r="F15" i="13" s="1"/>
  <c r="E20" i="13"/>
  <c r="F20" i="13" s="1"/>
  <c r="E25" i="13"/>
  <c r="F25" i="13" s="1"/>
  <c r="E31" i="13"/>
  <c r="F31" i="13" s="1"/>
  <c r="E36" i="13"/>
  <c r="F36" i="13" s="1"/>
  <c r="E41" i="13"/>
  <c r="F41" i="13" s="1"/>
  <c r="E6" i="13"/>
  <c r="F6" i="13" s="1"/>
  <c r="E10" i="13"/>
  <c r="F10" i="13" s="1"/>
  <c r="E14" i="13"/>
  <c r="F14" i="13" s="1"/>
  <c r="E18" i="13"/>
  <c r="F18" i="13" s="1"/>
  <c r="E22" i="13"/>
  <c r="F22" i="13" s="1"/>
  <c r="E26" i="13"/>
  <c r="F26" i="13" s="1"/>
  <c r="E30" i="13"/>
  <c r="F30" i="13" s="1"/>
  <c r="E34" i="13"/>
  <c r="F34" i="13" s="1"/>
  <c r="E38" i="13"/>
  <c r="F38" i="13" s="1"/>
  <c r="H29" i="13" l="1"/>
  <c r="H36" i="13"/>
  <c r="H33" i="13"/>
  <c r="H25" i="13"/>
  <c r="H26" i="13"/>
  <c r="H39" i="13"/>
  <c r="H42" i="13"/>
  <c r="H44" i="13"/>
  <c r="H35" i="13"/>
  <c r="H28" i="13"/>
  <c r="H40" i="13"/>
  <c r="H37" i="13"/>
  <c r="H31" i="13"/>
  <c r="H34" i="13"/>
  <c r="H41" i="13"/>
  <c r="H32" i="13"/>
  <c r="H43" i="13"/>
  <c r="H27" i="13"/>
  <c r="H30" i="13"/>
  <c r="H24" i="13"/>
  <c r="H38" i="13"/>
  <c r="H45" i="13"/>
  <c r="H13" i="13"/>
  <c r="H8" i="13"/>
  <c r="F14" i="24" s="1"/>
  <c r="H10" i="13"/>
  <c r="F25" i="24" s="1"/>
  <c r="H4" i="13"/>
  <c r="H12" i="13"/>
  <c r="H16" i="13"/>
  <c r="H6" i="13"/>
  <c r="F35" i="24" s="1"/>
  <c r="H23" i="13"/>
  <c r="H20" i="13"/>
  <c r="H11" i="13"/>
  <c r="F19" i="24" s="1"/>
  <c r="H5" i="13"/>
  <c r="F9" i="24" s="1"/>
  <c r="H17" i="13"/>
  <c r="H9" i="13"/>
  <c r="F38" i="24" s="1"/>
  <c r="H15" i="13"/>
  <c r="H14" i="13"/>
  <c r="H21" i="13"/>
  <c r="H7" i="13"/>
  <c r="F3" i="24" s="1"/>
  <c r="H19" i="13"/>
  <c r="H18" i="13"/>
  <c r="H22" i="13"/>
  <c r="I5" i="13"/>
  <c r="B11" i="15"/>
  <c r="C10" i="15"/>
  <c r="F46" i="13"/>
  <c r="F48" i="13"/>
  <c r="F49" i="13" s="1"/>
  <c r="F50" i="13"/>
  <c r="F51" i="13" s="1"/>
  <c r="E2" i="4"/>
  <c r="E3" i="4"/>
  <c r="N3" i="4" s="1"/>
  <c r="E4" i="4"/>
  <c r="N4" i="4" s="1"/>
  <c r="E5" i="4"/>
  <c r="N5" i="4" s="1"/>
  <c r="E6" i="4"/>
  <c r="N6" i="4" s="1"/>
  <c r="E7" i="4"/>
  <c r="N7" i="4" s="1"/>
  <c r="E8" i="4"/>
  <c r="N8" i="4" s="1"/>
  <c r="E9" i="4"/>
  <c r="N9" i="4" s="1"/>
  <c r="E10" i="4"/>
  <c r="N10" i="4" s="1"/>
  <c r="E11" i="4"/>
  <c r="N11" i="4" s="1"/>
  <c r="E12" i="4"/>
  <c r="N12" i="4" s="1"/>
  <c r="E13" i="4"/>
  <c r="N13" i="4" s="1"/>
  <c r="E14" i="4"/>
  <c r="N14" i="4" s="1"/>
  <c r="E15" i="4"/>
  <c r="N15" i="4" s="1"/>
  <c r="E16" i="4"/>
  <c r="N16" i="4" s="1"/>
  <c r="E17" i="4"/>
  <c r="N17" i="4" s="1"/>
  <c r="E18" i="4"/>
  <c r="N18" i="4" s="1"/>
  <c r="E19" i="4"/>
  <c r="N19" i="4" s="1"/>
  <c r="E20" i="4"/>
  <c r="N20" i="4" s="1"/>
  <c r="E21" i="4"/>
  <c r="N21" i="4" s="1"/>
  <c r="E22" i="4"/>
  <c r="N22" i="4" s="1"/>
  <c r="E23" i="4"/>
  <c r="N23" i="4" s="1"/>
  <c r="E24" i="4"/>
  <c r="N24" i="4" s="1"/>
  <c r="E25" i="4"/>
  <c r="N25" i="4" s="1"/>
  <c r="E26" i="4"/>
  <c r="N26" i="4" s="1"/>
  <c r="E27" i="4"/>
  <c r="N27" i="4" s="1"/>
  <c r="E28" i="4"/>
  <c r="N28" i="4" s="1"/>
  <c r="E29" i="4"/>
  <c r="N29" i="4" s="1"/>
  <c r="E30" i="4"/>
  <c r="N30" i="4" s="1"/>
  <c r="E31" i="4"/>
  <c r="N31" i="4" s="1"/>
  <c r="E32" i="4"/>
  <c r="N32" i="4" s="1"/>
  <c r="E33" i="4"/>
  <c r="N33" i="4" s="1"/>
  <c r="E34" i="4"/>
  <c r="N34" i="4" s="1"/>
  <c r="E35" i="4"/>
  <c r="N35" i="4" s="1"/>
  <c r="E36" i="4"/>
  <c r="N36" i="4" s="1"/>
  <c r="E37" i="4"/>
  <c r="N37" i="4" s="1"/>
  <c r="E38" i="4"/>
  <c r="N38" i="4" s="1"/>
  <c r="E39" i="4"/>
  <c r="N39" i="4" s="1"/>
  <c r="E40" i="4"/>
  <c r="N40" i="4" s="1"/>
  <c r="E41" i="4"/>
  <c r="N41" i="4" s="1"/>
  <c r="E42" i="4"/>
  <c r="N42" i="4" s="1"/>
  <c r="E43" i="4"/>
  <c r="N43" i="4" s="1"/>
  <c r="E44" i="4"/>
  <c r="N44" i="4" s="1"/>
  <c r="E45" i="4"/>
  <c r="N45" i="4" s="1"/>
  <c r="E46" i="4"/>
  <c r="N46" i="4" s="1"/>
  <c r="E47" i="4"/>
  <c r="N47" i="4" s="1"/>
  <c r="D22" i="5"/>
  <c r="C22" i="5"/>
  <c r="C33" i="5" s="1"/>
  <c r="B22" i="5"/>
  <c r="F6" i="24" l="1"/>
  <c r="I19" i="13"/>
  <c r="F24" i="24"/>
  <c r="I15" i="13"/>
  <c r="F27" i="24"/>
  <c r="I16" i="13"/>
  <c r="F36" i="24"/>
  <c r="I24" i="13"/>
  <c r="F12" i="24"/>
  <c r="I32" i="13"/>
  <c r="F33" i="24"/>
  <c r="I37" i="13"/>
  <c r="F18" i="24"/>
  <c r="I44" i="13"/>
  <c r="F32" i="24"/>
  <c r="I25" i="13"/>
  <c r="F20" i="24"/>
  <c r="I20" i="13"/>
  <c r="F8" i="24"/>
  <c r="I12" i="13"/>
  <c r="F7" i="24"/>
  <c r="I13" i="13"/>
  <c r="F17" i="24"/>
  <c r="I30" i="13"/>
  <c r="F34" i="24"/>
  <c r="I41" i="13"/>
  <c r="F47" i="24"/>
  <c r="I40" i="13"/>
  <c r="F37" i="24"/>
  <c r="I42" i="13"/>
  <c r="F26" i="24"/>
  <c r="I33" i="13"/>
  <c r="F4" i="24"/>
  <c r="I22" i="13"/>
  <c r="F10" i="24"/>
  <c r="I21" i="13"/>
  <c r="F28" i="24"/>
  <c r="I17" i="13"/>
  <c r="F43" i="24"/>
  <c r="I23" i="13"/>
  <c r="F23" i="24"/>
  <c r="I4" i="13"/>
  <c r="F48" i="24"/>
  <c r="I45" i="13"/>
  <c r="F15" i="24"/>
  <c r="I27" i="13"/>
  <c r="F11" i="24"/>
  <c r="I34" i="13"/>
  <c r="F30" i="24"/>
  <c r="I28" i="13"/>
  <c r="F40" i="24"/>
  <c r="I39" i="13"/>
  <c r="F45" i="24"/>
  <c r="I36" i="13"/>
  <c r="F21" i="24"/>
  <c r="I18" i="13"/>
  <c r="F22" i="24"/>
  <c r="I14" i="13"/>
  <c r="F41" i="24"/>
  <c r="I38" i="13"/>
  <c r="F16" i="24"/>
  <c r="I43" i="13"/>
  <c r="F44" i="24"/>
  <c r="I31" i="13"/>
  <c r="F13" i="24"/>
  <c r="I35" i="13"/>
  <c r="F39" i="24"/>
  <c r="I26" i="13"/>
  <c r="F29" i="24"/>
  <c r="I29" i="13"/>
  <c r="D33" i="5"/>
  <c r="E33" i="5" s="1"/>
  <c r="I6" i="13"/>
  <c r="B12" i="15"/>
  <c r="C11" i="15"/>
  <c r="K12" i="5"/>
  <c r="J12" i="5"/>
  <c r="F52" i="13"/>
  <c r="G29" i="13" s="1"/>
  <c r="N2" i="4"/>
  <c r="D23" i="5"/>
  <c r="D34" i="5" s="1"/>
  <c r="B23" i="5"/>
  <c r="B34" i="5" s="1"/>
  <c r="C23" i="5"/>
  <c r="C34" i="5" s="1"/>
  <c r="L12" i="5" l="1"/>
  <c r="I7" i="13"/>
  <c r="B13" i="15"/>
  <c r="C12" i="15"/>
  <c r="G37" i="13"/>
  <c r="G26" i="13"/>
  <c r="G24" i="13"/>
  <c r="G43" i="13"/>
  <c r="G41" i="13"/>
  <c r="G42" i="13"/>
  <c r="G38" i="13"/>
  <c r="G40" i="13"/>
  <c r="G44" i="13"/>
  <c r="G35" i="13"/>
  <c r="G28" i="13"/>
  <c r="G39" i="13"/>
  <c r="G33" i="13"/>
  <c r="G31" i="13"/>
  <c r="G25" i="13"/>
  <c r="G34" i="13"/>
  <c r="G32" i="13"/>
  <c r="G27" i="13"/>
  <c r="G36" i="13"/>
  <c r="G30" i="13"/>
  <c r="G12" i="13"/>
  <c r="G19" i="13"/>
  <c r="G23" i="13"/>
  <c r="G7" i="13"/>
  <c r="G8" i="13"/>
  <c r="G11" i="13"/>
  <c r="G16" i="13"/>
  <c r="G4" i="13"/>
  <c r="G15" i="13"/>
  <c r="G20" i="13"/>
  <c r="G3" i="13"/>
  <c r="G18" i="13"/>
  <c r="G10" i="13"/>
  <c r="G6" i="13"/>
  <c r="G5" i="13"/>
  <c r="G17" i="13"/>
  <c r="G13" i="13"/>
  <c r="G14" i="13"/>
  <c r="G9" i="13"/>
  <c r="G21" i="13"/>
  <c r="G22" i="13"/>
  <c r="G45" i="13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2" i="4"/>
  <c r="C6" i="9"/>
  <c r="C7" i="9"/>
  <c r="C8" i="9"/>
  <c r="C9" i="9"/>
  <c r="C10" i="9"/>
  <c r="C11" i="9"/>
  <c r="C12" i="9"/>
  <c r="C13" i="9"/>
  <c r="C14" i="9"/>
  <c r="C15" i="9"/>
  <c r="C16" i="9"/>
  <c r="C18" i="9"/>
  <c r="C19" i="9"/>
  <c r="C17" i="9"/>
  <c r="C23" i="9"/>
  <c r="C20" i="9"/>
  <c r="C21" i="9"/>
  <c r="C22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9" i="9"/>
  <c r="C38" i="9"/>
  <c r="C40" i="9"/>
  <c r="C41" i="9"/>
  <c r="C42" i="9"/>
  <c r="C43" i="9"/>
  <c r="C44" i="9"/>
  <c r="C45" i="9"/>
  <c r="C46" i="9"/>
  <c r="C47" i="9"/>
  <c r="C48" i="9"/>
  <c r="C49" i="9"/>
  <c r="C4" i="9"/>
  <c r="C5" i="9"/>
  <c r="D23" i="4"/>
  <c r="R23" i="4" s="1"/>
  <c r="D24" i="4"/>
  <c r="R24" i="4" s="1"/>
  <c r="D25" i="4"/>
  <c r="R25" i="4" s="1"/>
  <c r="D26" i="4"/>
  <c r="R26" i="4" s="1"/>
  <c r="D27" i="4"/>
  <c r="R27" i="4" s="1"/>
  <c r="D28" i="4"/>
  <c r="R28" i="4" s="1"/>
  <c r="D29" i="4"/>
  <c r="R29" i="4" s="1"/>
  <c r="D30" i="4"/>
  <c r="R30" i="4" s="1"/>
  <c r="D31" i="4"/>
  <c r="R31" i="4" s="1"/>
  <c r="D32" i="4"/>
  <c r="R32" i="4" s="1"/>
  <c r="D33" i="4"/>
  <c r="R33" i="4" s="1"/>
  <c r="D34" i="4"/>
  <c r="R34" i="4" s="1"/>
  <c r="D35" i="4"/>
  <c r="R35" i="4" s="1"/>
  <c r="D36" i="4"/>
  <c r="R36" i="4" s="1"/>
  <c r="D37" i="4"/>
  <c r="R37" i="4" s="1"/>
  <c r="D38" i="4"/>
  <c r="R38" i="4" s="1"/>
  <c r="D39" i="4"/>
  <c r="R39" i="4" s="1"/>
  <c r="D40" i="4"/>
  <c r="R40" i="4" s="1"/>
  <c r="D41" i="4"/>
  <c r="R41" i="4" s="1"/>
  <c r="D42" i="4"/>
  <c r="R42" i="4" s="1"/>
  <c r="D43" i="4"/>
  <c r="R43" i="4" s="1"/>
  <c r="D44" i="4"/>
  <c r="R44" i="4" s="1"/>
  <c r="D45" i="4"/>
  <c r="R45" i="4" s="1"/>
  <c r="D46" i="4"/>
  <c r="R46" i="4" s="1"/>
  <c r="D47" i="4"/>
  <c r="R47" i="4" s="1"/>
  <c r="D22" i="4"/>
  <c r="R22" i="4" s="1"/>
  <c r="D3" i="4"/>
  <c r="R3" i="4" s="1"/>
  <c r="D4" i="4"/>
  <c r="R4" i="4" s="1"/>
  <c r="D5" i="4"/>
  <c r="R5" i="4" s="1"/>
  <c r="D6" i="4"/>
  <c r="R6" i="4" s="1"/>
  <c r="D7" i="4"/>
  <c r="R7" i="4" s="1"/>
  <c r="D8" i="4"/>
  <c r="R8" i="4" s="1"/>
  <c r="D9" i="4"/>
  <c r="R9" i="4" s="1"/>
  <c r="D10" i="4"/>
  <c r="R10" i="4" s="1"/>
  <c r="D11" i="4"/>
  <c r="R11" i="4" s="1"/>
  <c r="D12" i="4"/>
  <c r="R12" i="4" s="1"/>
  <c r="D13" i="4"/>
  <c r="R13" i="4" s="1"/>
  <c r="D14" i="4"/>
  <c r="R14" i="4" s="1"/>
  <c r="D15" i="4"/>
  <c r="R15" i="4" s="1"/>
  <c r="D16" i="4"/>
  <c r="R16" i="4" s="1"/>
  <c r="D17" i="4"/>
  <c r="R17" i="4" s="1"/>
  <c r="D18" i="4"/>
  <c r="R18" i="4" s="1"/>
  <c r="D19" i="4"/>
  <c r="R19" i="4" s="1"/>
  <c r="D20" i="4"/>
  <c r="R20" i="4" s="1"/>
  <c r="D21" i="4"/>
  <c r="R21" i="4" s="1"/>
  <c r="D2" i="4"/>
  <c r="R2" i="4" s="1"/>
  <c r="C50" i="9" l="1"/>
  <c r="G57" i="9" s="1"/>
  <c r="I8" i="13"/>
  <c r="C13" i="15"/>
  <c r="B14" i="15"/>
  <c r="G46" i="13"/>
  <c r="C48" i="4"/>
  <c r="J49" i="9"/>
  <c r="J48" i="9"/>
  <c r="J42" i="9"/>
  <c r="J41" i="9"/>
  <c r="J40" i="9"/>
  <c r="J38" i="9"/>
  <c r="J39" i="9"/>
  <c r="J37" i="9"/>
  <c r="J36" i="9"/>
  <c r="J35" i="9"/>
  <c r="J34" i="9"/>
  <c r="J33" i="9"/>
  <c r="J32" i="9"/>
  <c r="E47" i="24" l="1"/>
  <c r="E37" i="24"/>
  <c r="I9" i="13"/>
  <c r="C14" i="15"/>
  <c r="B15" i="15"/>
  <c r="B5" i="10"/>
  <c r="B6" i="10" s="1"/>
  <c r="B7" i="10" s="1"/>
  <c r="C69" i="10"/>
  <c r="C5" i="10" s="1"/>
  <c r="D69" i="10"/>
  <c r="K32" i="9"/>
  <c r="E24" i="24" s="1"/>
  <c r="K33" i="9"/>
  <c r="E39" i="24" s="1"/>
  <c r="K35" i="9"/>
  <c r="E13" i="24" s="1"/>
  <c r="K34" i="9"/>
  <c r="K36" i="9"/>
  <c r="E46" i="24" s="1"/>
  <c r="K37" i="9"/>
  <c r="E29" i="24" s="1"/>
  <c r="K38" i="9"/>
  <c r="E44" i="24" s="1"/>
  <c r="F39" i="9"/>
  <c r="K39" i="9"/>
  <c r="E23" i="24" s="1"/>
  <c r="F40" i="9"/>
  <c r="K40" i="9"/>
  <c r="F41" i="9"/>
  <c r="K41" i="9"/>
  <c r="E43" i="24" s="1"/>
  <c r="F43" i="9"/>
  <c r="F42" i="9"/>
  <c r="K42" i="9"/>
  <c r="E38" i="24" s="1"/>
  <c r="F44" i="9"/>
  <c r="F45" i="9"/>
  <c r="F46" i="9"/>
  <c r="F47" i="9"/>
  <c r="G47" i="9" s="1"/>
  <c r="F48" i="9"/>
  <c r="K48" i="9"/>
  <c r="E45" i="24" s="1"/>
  <c r="F49" i="9"/>
  <c r="K49" i="9"/>
  <c r="E42" i="24" s="1"/>
  <c r="Q45" i="24" l="1"/>
  <c r="L45" i="24"/>
  <c r="P45" i="24" s="1"/>
  <c r="Q13" i="24"/>
  <c r="L13" i="24"/>
  <c r="M13" i="24" s="1"/>
  <c r="L46" i="24"/>
  <c r="Q46" i="24"/>
  <c r="L24" i="24"/>
  <c r="M24" i="24" s="1"/>
  <c r="Q24" i="24"/>
  <c r="L42" i="24"/>
  <c r="Q42" i="24"/>
  <c r="D38" i="24"/>
  <c r="G42" i="9"/>
  <c r="D42" i="24"/>
  <c r="G49" i="9"/>
  <c r="D36" i="24"/>
  <c r="G45" i="9"/>
  <c r="D48" i="24"/>
  <c r="G43" i="9"/>
  <c r="D47" i="24"/>
  <c r="G40" i="9"/>
  <c r="D19" i="24"/>
  <c r="I19" i="24" s="1"/>
  <c r="J19" i="24" s="1"/>
  <c r="G44" i="9"/>
  <c r="D15" i="24"/>
  <c r="I15" i="24" s="1"/>
  <c r="J15" i="24" s="1"/>
  <c r="G46" i="9"/>
  <c r="D45" i="24"/>
  <c r="G48" i="9"/>
  <c r="D43" i="24"/>
  <c r="G41" i="9"/>
  <c r="D23" i="24"/>
  <c r="G39" i="9"/>
  <c r="P42" i="24"/>
  <c r="M42" i="24"/>
  <c r="M46" i="24"/>
  <c r="P46" i="24"/>
  <c r="D35" i="24"/>
  <c r="I11" i="13"/>
  <c r="I10" i="13"/>
  <c r="C15" i="15"/>
  <c r="B16" i="15"/>
  <c r="G47" i="4"/>
  <c r="O47" i="4" s="1"/>
  <c r="D5" i="10"/>
  <c r="D7" i="10"/>
  <c r="B8" i="10"/>
  <c r="C7" i="10"/>
  <c r="D6" i="10"/>
  <c r="C6" i="10"/>
  <c r="M45" i="24" l="1"/>
  <c r="I50" i="13"/>
  <c r="I51" i="13" s="1"/>
  <c r="I46" i="13"/>
  <c r="I48" i="13"/>
  <c r="C16" i="15"/>
  <c r="B17" i="15"/>
  <c r="C8" i="10"/>
  <c r="D8" i="10"/>
  <c r="B9" i="10"/>
  <c r="K13" i="5" l="1"/>
  <c r="I49" i="13"/>
  <c r="J13" i="5"/>
  <c r="C17" i="15"/>
  <c r="B18" i="15"/>
  <c r="D9" i="10"/>
  <c r="B10" i="10"/>
  <c r="C9" i="10"/>
  <c r="L13" i="5" l="1"/>
  <c r="C18" i="15"/>
  <c r="B19" i="15"/>
  <c r="F4" i="9"/>
  <c r="F5" i="9"/>
  <c r="C10" i="10"/>
  <c r="F6" i="9" s="1"/>
  <c r="D10" i="10"/>
  <c r="B11" i="10"/>
  <c r="D8" i="24" l="1"/>
  <c r="I8" i="24" s="1"/>
  <c r="G6" i="9"/>
  <c r="D3" i="24"/>
  <c r="G4" i="9"/>
  <c r="D4" i="24"/>
  <c r="I23" i="24" s="1"/>
  <c r="G5" i="9"/>
  <c r="C19" i="15"/>
  <c r="B20" i="15"/>
  <c r="C11" i="10"/>
  <c r="F7" i="9" s="1"/>
  <c r="D11" i="10"/>
  <c r="B12" i="10"/>
  <c r="I4" i="24" l="1"/>
  <c r="N4" i="24" s="1"/>
  <c r="J23" i="24"/>
  <c r="D5" i="24"/>
  <c r="I5" i="24" s="1"/>
  <c r="J5" i="24" s="1"/>
  <c r="G7" i="9"/>
  <c r="J8" i="24"/>
  <c r="N8" i="24"/>
  <c r="C20" i="15"/>
  <c r="B21" i="15"/>
  <c r="C12" i="10"/>
  <c r="D12" i="10"/>
  <c r="B13" i="10"/>
  <c r="J4" i="24" l="1"/>
  <c r="N23" i="24"/>
  <c r="O23" i="24" s="1"/>
  <c r="O4" i="24"/>
  <c r="O8" i="24"/>
  <c r="N5" i="24"/>
  <c r="C21" i="15"/>
  <c r="B22" i="15"/>
  <c r="D13" i="10"/>
  <c r="B14" i="10"/>
  <c r="C13" i="10"/>
  <c r="O5" i="24" l="1"/>
  <c r="C22" i="15"/>
  <c r="B23" i="15"/>
  <c r="B15" i="10"/>
  <c r="C14" i="10"/>
  <c r="D14" i="10"/>
  <c r="C23" i="15" l="1"/>
  <c r="B24" i="15"/>
  <c r="F8" i="9"/>
  <c r="G8" i="9" s="1"/>
  <c r="F9" i="9"/>
  <c r="G9" i="9" s="1"/>
  <c r="J6" i="9"/>
  <c r="J4" i="9"/>
  <c r="J5" i="9"/>
  <c r="D15" i="10"/>
  <c r="B16" i="10"/>
  <c r="C15" i="10"/>
  <c r="D9" i="24" l="1"/>
  <c r="K4" i="9"/>
  <c r="E3" i="24"/>
  <c r="K6" i="9"/>
  <c r="E8" i="24" s="1"/>
  <c r="K5" i="9"/>
  <c r="E4" i="24"/>
  <c r="D14" i="24"/>
  <c r="C24" i="15"/>
  <c r="B25" i="15"/>
  <c r="C16" i="10"/>
  <c r="D16" i="10"/>
  <c r="J7" i="9" s="1"/>
  <c r="B17" i="10"/>
  <c r="Q3" i="24" l="1"/>
  <c r="L3" i="24"/>
  <c r="Q8" i="24"/>
  <c r="L8" i="24"/>
  <c r="I9" i="24"/>
  <c r="K7" i="9"/>
  <c r="E5" i="24"/>
  <c r="Q4" i="24"/>
  <c r="L4" i="24"/>
  <c r="Q23" i="24"/>
  <c r="L23" i="24"/>
  <c r="C25" i="15"/>
  <c r="B26" i="15"/>
  <c r="D17" i="10"/>
  <c r="B18" i="10"/>
  <c r="C17" i="10"/>
  <c r="F10" i="9"/>
  <c r="F11" i="9"/>
  <c r="F12" i="9"/>
  <c r="D20" i="24" l="1"/>
  <c r="I20" i="24" s="1"/>
  <c r="G12" i="9"/>
  <c r="D17" i="24"/>
  <c r="I17" i="24" s="1"/>
  <c r="G11" i="9"/>
  <c r="D16" i="24"/>
  <c r="G10" i="9"/>
  <c r="J9" i="24"/>
  <c r="M8" i="24"/>
  <c r="Q5" i="24"/>
  <c r="L5" i="24"/>
  <c r="M3" i="24"/>
  <c r="P3" i="24"/>
  <c r="M23" i="24"/>
  <c r="M4" i="24"/>
  <c r="C26" i="15"/>
  <c r="B27" i="15"/>
  <c r="C18" i="10"/>
  <c r="F13" i="9" s="1"/>
  <c r="B19" i="10"/>
  <c r="D18" i="10"/>
  <c r="D10" i="24" l="1"/>
  <c r="I16" i="24" s="1"/>
  <c r="G13" i="9"/>
  <c r="P23" i="24"/>
  <c r="J17" i="24"/>
  <c r="J20" i="24"/>
  <c r="N17" i="24"/>
  <c r="M5" i="24"/>
  <c r="C27" i="15"/>
  <c r="B28" i="15"/>
  <c r="J9" i="9"/>
  <c r="J8" i="9"/>
  <c r="C19" i="10"/>
  <c r="D19" i="10"/>
  <c r="J10" i="9" s="1"/>
  <c r="B20" i="10"/>
  <c r="J16" i="24" l="1"/>
  <c r="O17" i="24"/>
  <c r="K10" i="9"/>
  <c r="E16" i="24" s="1"/>
  <c r="K8" i="9"/>
  <c r="E14" i="24"/>
  <c r="K9" i="9"/>
  <c r="E9" i="24"/>
  <c r="C28" i="15"/>
  <c r="B29" i="15"/>
  <c r="C20" i="10"/>
  <c r="D20" i="10"/>
  <c r="B21" i="10"/>
  <c r="F15" i="9"/>
  <c r="F14" i="9"/>
  <c r="D26" i="24" l="1"/>
  <c r="I47" i="24" s="1"/>
  <c r="J47" i="24" s="1"/>
  <c r="G15" i="9"/>
  <c r="D34" i="24"/>
  <c r="I34" i="24" s="1"/>
  <c r="G14" i="9"/>
  <c r="Q9" i="24"/>
  <c r="L9" i="24"/>
  <c r="Q14" i="24"/>
  <c r="L14" i="24"/>
  <c r="C29" i="15"/>
  <c r="B30" i="15"/>
  <c r="J12" i="9"/>
  <c r="J11" i="9"/>
  <c r="C21" i="10"/>
  <c r="F16" i="9" s="1"/>
  <c r="D21" i="10"/>
  <c r="B22" i="10"/>
  <c r="I26" i="24" l="1"/>
  <c r="J26" i="24" s="1"/>
  <c r="N47" i="24"/>
  <c r="O47" i="24" s="1"/>
  <c r="D33" i="24"/>
  <c r="I33" i="24" s="1"/>
  <c r="G16" i="9"/>
  <c r="J34" i="24"/>
  <c r="M14" i="24"/>
  <c r="M9" i="24"/>
  <c r="N34" i="24"/>
  <c r="K11" i="9"/>
  <c r="E17" i="24" s="1"/>
  <c r="K12" i="9"/>
  <c r="E20" i="24"/>
  <c r="C30" i="15"/>
  <c r="B31" i="15"/>
  <c r="B23" i="10"/>
  <c r="C22" i="10"/>
  <c r="D22" i="10"/>
  <c r="J13" i="9" s="1"/>
  <c r="J33" i="24" l="1"/>
  <c r="Q20" i="24"/>
  <c r="L20" i="24"/>
  <c r="Q17" i="24"/>
  <c r="L17" i="24"/>
  <c r="O34" i="24"/>
  <c r="K13" i="9"/>
  <c r="E10" i="24"/>
  <c r="C31" i="15"/>
  <c r="B32" i="15"/>
  <c r="C23" i="10"/>
  <c r="D23" i="10"/>
  <c r="J14" i="9" s="1"/>
  <c r="B24" i="10"/>
  <c r="P8" i="24" l="1"/>
  <c r="P17" i="24"/>
  <c r="M17" i="24"/>
  <c r="P20" i="24"/>
  <c r="M20" i="24"/>
  <c r="K14" i="9"/>
  <c r="E34" i="24" s="1"/>
  <c r="L16" i="24"/>
  <c r="Q16" i="24"/>
  <c r="C32" i="15"/>
  <c r="B33" i="15"/>
  <c r="C24" i="10"/>
  <c r="D24" i="10"/>
  <c r="J15" i="9" s="1"/>
  <c r="B25" i="10"/>
  <c r="F20" i="9"/>
  <c r="F17" i="9"/>
  <c r="D22" i="24" l="1"/>
  <c r="I38" i="24" s="1"/>
  <c r="J38" i="24" s="1"/>
  <c r="G17" i="9"/>
  <c r="D6" i="24"/>
  <c r="G20" i="9"/>
  <c r="Q34" i="24"/>
  <c r="L34" i="24"/>
  <c r="M16" i="24"/>
  <c r="K15" i="9"/>
  <c r="E26" i="24"/>
  <c r="L26" i="24" s="1"/>
  <c r="C33" i="15"/>
  <c r="B34" i="15"/>
  <c r="D25" i="10"/>
  <c r="J16" i="9" s="1"/>
  <c r="B26" i="10"/>
  <c r="C25" i="10"/>
  <c r="F18" i="9"/>
  <c r="F21" i="9"/>
  <c r="F19" i="9"/>
  <c r="F22" i="9"/>
  <c r="N38" i="24" l="1"/>
  <c r="N9" i="24"/>
  <c r="O9" i="24" s="1"/>
  <c r="D12" i="24"/>
  <c r="I12" i="24" s="1"/>
  <c r="G21" i="9"/>
  <c r="D32" i="24"/>
  <c r="I22" i="24" s="1"/>
  <c r="J22" i="24" s="1"/>
  <c r="G18" i="9"/>
  <c r="D31" i="24"/>
  <c r="I31" i="24" s="1"/>
  <c r="G22" i="9"/>
  <c r="D30" i="24"/>
  <c r="I48" i="24" s="1"/>
  <c r="G19" i="9"/>
  <c r="O38" i="24"/>
  <c r="Q26" i="24"/>
  <c r="P34" i="24"/>
  <c r="M34" i="24"/>
  <c r="P26" i="24"/>
  <c r="M26" i="24"/>
  <c r="K16" i="9"/>
  <c r="E33" i="24"/>
  <c r="Q47" i="24"/>
  <c r="L47" i="24"/>
  <c r="B35" i="15"/>
  <c r="C34" i="15"/>
  <c r="F23" i="9"/>
  <c r="F24" i="9"/>
  <c r="C26" i="10"/>
  <c r="B27" i="10"/>
  <c r="D26" i="10"/>
  <c r="I32" i="24" l="1"/>
  <c r="J32" i="24" s="1"/>
  <c r="N22" i="24"/>
  <c r="O22" i="24" s="1"/>
  <c r="N20" i="24"/>
  <c r="O20" i="24" s="1"/>
  <c r="J48" i="24"/>
  <c r="D11" i="24"/>
  <c r="I11" i="24" s="1"/>
  <c r="G24" i="9"/>
  <c r="D7" i="24"/>
  <c r="I7" i="24" s="1"/>
  <c r="G23" i="9"/>
  <c r="N48" i="24"/>
  <c r="J31" i="24"/>
  <c r="J12" i="24"/>
  <c r="P5" i="24"/>
  <c r="I35" i="24"/>
  <c r="J35" i="24" s="1"/>
  <c r="N31" i="24"/>
  <c r="Q33" i="24"/>
  <c r="L33" i="24"/>
  <c r="P47" i="24"/>
  <c r="M47" i="24"/>
  <c r="L44" i="24"/>
  <c r="Q44" i="24"/>
  <c r="B36" i="15"/>
  <c r="C35" i="15"/>
  <c r="C27" i="10"/>
  <c r="D27" i="10"/>
  <c r="B28" i="10"/>
  <c r="F25" i="9"/>
  <c r="F26" i="9"/>
  <c r="O48" i="24" l="1"/>
  <c r="D27" i="24"/>
  <c r="G26" i="9"/>
  <c r="D28" i="24"/>
  <c r="I28" i="24" s="1"/>
  <c r="G25" i="9"/>
  <c r="J7" i="24"/>
  <c r="J11" i="24"/>
  <c r="N26" i="24"/>
  <c r="O26" i="24" s="1"/>
  <c r="N35" i="24"/>
  <c r="O35" i="24" s="1"/>
  <c r="I10" i="24"/>
  <c r="P33" i="24"/>
  <c r="M33" i="24"/>
  <c r="O31" i="24"/>
  <c r="N7" i="24"/>
  <c r="N11" i="24"/>
  <c r="P44" i="24"/>
  <c r="M44" i="24"/>
  <c r="C36" i="15"/>
  <c r="B37" i="15"/>
  <c r="J19" i="9"/>
  <c r="J18" i="9"/>
  <c r="J17" i="9"/>
  <c r="C28" i="10"/>
  <c r="D28" i="10"/>
  <c r="B29" i="10"/>
  <c r="F27" i="9"/>
  <c r="F28" i="9"/>
  <c r="D18" i="24" l="1"/>
  <c r="I18" i="24" s="1"/>
  <c r="G28" i="9"/>
  <c r="D40" i="24"/>
  <c r="I40" i="24" s="1"/>
  <c r="J40" i="24" s="1"/>
  <c r="G27" i="9"/>
  <c r="J28" i="24"/>
  <c r="N16" i="24"/>
  <c r="O16" i="24" s="1"/>
  <c r="J10" i="24"/>
  <c r="N10" i="24"/>
  <c r="O10" i="24" s="1"/>
  <c r="O11" i="24"/>
  <c r="O7" i="24"/>
  <c r="N28" i="24"/>
  <c r="I27" i="24"/>
  <c r="J27" i="24" s="1"/>
  <c r="K18" i="9"/>
  <c r="E32" i="24" s="1"/>
  <c r="K19" i="9"/>
  <c r="E30" i="24"/>
  <c r="K17" i="9"/>
  <c r="E22" i="24" s="1"/>
  <c r="C37" i="15"/>
  <c r="B38" i="15"/>
  <c r="J22" i="9"/>
  <c r="J21" i="9"/>
  <c r="J20" i="9"/>
  <c r="J23" i="9"/>
  <c r="C29" i="10"/>
  <c r="D29" i="10"/>
  <c r="B30" i="10"/>
  <c r="F30" i="9"/>
  <c r="F31" i="9"/>
  <c r="F29" i="9"/>
  <c r="D41" i="24" l="1"/>
  <c r="I43" i="24" s="1"/>
  <c r="G29" i="9"/>
  <c r="D21" i="24"/>
  <c r="I21" i="24" s="1"/>
  <c r="G31" i="9"/>
  <c r="D25" i="24"/>
  <c r="I30" i="24" s="1"/>
  <c r="J30" i="24" s="1"/>
  <c r="G30" i="9"/>
  <c r="J18" i="24"/>
  <c r="N33" i="24"/>
  <c r="O33" i="24" s="1"/>
  <c r="N27" i="24"/>
  <c r="O27" i="24" s="1"/>
  <c r="N18" i="24"/>
  <c r="N40" i="24"/>
  <c r="O28" i="24"/>
  <c r="I6" i="24"/>
  <c r="J6" i="24" s="1"/>
  <c r="K20" i="9"/>
  <c r="E6" i="24"/>
  <c r="K21" i="9"/>
  <c r="E12" i="24"/>
  <c r="Q22" i="24"/>
  <c r="L22" i="24"/>
  <c r="K23" i="9"/>
  <c r="E7" i="24"/>
  <c r="Q38" i="24"/>
  <c r="L38" i="24"/>
  <c r="K22" i="9"/>
  <c r="E31" i="24"/>
  <c r="C38" i="15"/>
  <c r="B39" i="15"/>
  <c r="J26" i="9"/>
  <c r="J25" i="9"/>
  <c r="J24" i="9"/>
  <c r="B31" i="10"/>
  <c r="C30" i="10"/>
  <c r="D30" i="10"/>
  <c r="N43" i="24" l="1"/>
  <c r="O43" i="24" s="1"/>
  <c r="J43" i="24"/>
  <c r="I25" i="24"/>
  <c r="N15" i="24"/>
  <c r="O15" i="24" s="1"/>
  <c r="J21" i="24"/>
  <c r="P9" i="24"/>
  <c r="N6" i="24"/>
  <c r="O6" i="24" s="1"/>
  <c r="N21" i="24"/>
  <c r="Q31" i="24"/>
  <c r="L31" i="24"/>
  <c r="Q12" i="24"/>
  <c r="L12" i="24"/>
  <c r="L7" i="24"/>
  <c r="Q7" i="24"/>
  <c r="O40" i="24"/>
  <c r="O18" i="24"/>
  <c r="P22" i="24"/>
  <c r="M22" i="24"/>
  <c r="P38" i="24"/>
  <c r="M38" i="24"/>
  <c r="Q37" i="24"/>
  <c r="L37" i="24"/>
  <c r="K26" i="9"/>
  <c r="E27" i="24"/>
  <c r="Q32" i="24"/>
  <c r="L32" i="24"/>
  <c r="K24" i="9"/>
  <c r="E11" i="24"/>
  <c r="L39" i="24"/>
  <c r="Q39" i="24"/>
  <c r="K25" i="9"/>
  <c r="E28" i="24"/>
  <c r="B40" i="15"/>
  <c r="C39" i="15"/>
  <c r="C31" i="10"/>
  <c r="D31" i="10"/>
  <c r="B32" i="10"/>
  <c r="J25" i="24" l="1"/>
  <c r="P13" i="24"/>
  <c r="P7" i="24"/>
  <c r="M7" i="24"/>
  <c r="O21" i="24"/>
  <c r="P12" i="24"/>
  <c r="M12" i="24"/>
  <c r="L28" i="24"/>
  <c r="Q28" i="24"/>
  <c r="P31" i="24"/>
  <c r="M31" i="24"/>
  <c r="Q11" i="24"/>
  <c r="L11" i="24"/>
  <c r="P39" i="24"/>
  <c r="M39" i="24"/>
  <c r="P32" i="24"/>
  <c r="M32" i="24"/>
  <c r="P37" i="24"/>
  <c r="M37" i="24"/>
  <c r="Q10" i="24"/>
  <c r="L10" i="24"/>
  <c r="Q29" i="24"/>
  <c r="L29" i="24"/>
  <c r="B41" i="15"/>
  <c r="C40" i="15"/>
  <c r="J29" i="9"/>
  <c r="J28" i="9"/>
  <c r="J27" i="9"/>
  <c r="C32" i="10"/>
  <c r="F32" i="9" s="1"/>
  <c r="D32" i="10"/>
  <c r="J30" i="9" s="1"/>
  <c r="B33" i="10"/>
  <c r="D24" i="24" l="1"/>
  <c r="I41" i="24" s="1"/>
  <c r="J41" i="24" s="1"/>
  <c r="G32" i="9"/>
  <c r="P16" i="24"/>
  <c r="P28" i="24"/>
  <c r="M28" i="24"/>
  <c r="P11" i="24"/>
  <c r="M11" i="24"/>
  <c r="M29" i="24"/>
  <c r="P10" i="24"/>
  <c r="M10" i="24"/>
  <c r="K27" i="9"/>
  <c r="E40" i="24"/>
  <c r="K28" i="9"/>
  <c r="E18" i="24"/>
  <c r="K30" i="9"/>
  <c r="E25" i="24"/>
  <c r="K29" i="9"/>
  <c r="E41" i="24"/>
  <c r="B42" i="15"/>
  <c r="C41" i="15"/>
  <c r="D33" i="10"/>
  <c r="J31" i="9" s="1"/>
  <c r="B34" i="10"/>
  <c r="C33" i="10"/>
  <c r="F33" i="9" s="1"/>
  <c r="N41" i="24" l="1"/>
  <c r="N25" i="24"/>
  <c r="O25" i="24" s="1"/>
  <c r="D39" i="24"/>
  <c r="I39" i="24" s="1"/>
  <c r="J39" i="24" s="1"/>
  <c r="G33" i="9"/>
  <c r="L18" i="24"/>
  <c r="Q18" i="24"/>
  <c r="Q41" i="24"/>
  <c r="L41" i="24"/>
  <c r="I24" i="24"/>
  <c r="J24" i="24" s="1"/>
  <c r="L40" i="24"/>
  <c r="Q40" i="24"/>
  <c r="O41" i="24"/>
  <c r="Q27" i="24"/>
  <c r="L27" i="24"/>
  <c r="K31" i="9"/>
  <c r="E21" i="24"/>
  <c r="L30" i="24"/>
  <c r="Q30" i="24"/>
  <c r="Q25" i="24"/>
  <c r="L25" i="24"/>
  <c r="L43" i="24"/>
  <c r="Q43" i="24"/>
  <c r="B43" i="15"/>
  <c r="C42" i="15"/>
  <c r="C34" i="10"/>
  <c r="B35" i="10"/>
  <c r="P24" i="24" l="1"/>
  <c r="N12" i="24"/>
  <c r="O12" i="24" s="1"/>
  <c r="P29" i="24"/>
  <c r="N24" i="24"/>
  <c r="N39" i="24"/>
  <c r="P41" i="24"/>
  <c r="M41" i="24"/>
  <c r="L21" i="24"/>
  <c r="Q21" i="24"/>
  <c r="P40" i="24"/>
  <c r="M40" i="24"/>
  <c r="M18" i="24"/>
  <c r="P18" i="24"/>
  <c r="P25" i="24"/>
  <c r="M25" i="24"/>
  <c r="P27" i="24"/>
  <c r="M27" i="24"/>
  <c r="P43" i="24"/>
  <c r="M43" i="24"/>
  <c r="P30" i="24"/>
  <c r="M30" i="24"/>
  <c r="L6" i="24"/>
  <c r="P4" i="24" s="1"/>
  <c r="Q6" i="24"/>
  <c r="B44" i="15"/>
  <c r="C43" i="15"/>
  <c r="C35" i="10"/>
  <c r="F35" i="9" s="1"/>
  <c r="B36" i="10"/>
  <c r="D13" i="24" l="1"/>
  <c r="I13" i="24" s="1"/>
  <c r="J13" i="24" s="1"/>
  <c r="G35" i="9"/>
  <c r="O24" i="24"/>
  <c r="M21" i="24"/>
  <c r="I3" i="24"/>
  <c r="J3" i="24" s="1"/>
  <c r="O39" i="24"/>
  <c r="P6" i="24"/>
  <c r="M6" i="24"/>
  <c r="B45" i="15"/>
  <c r="C44" i="15"/>
  <c r="C36" i="10"/>
  <c r="B37" i="10"/>
  <c r="N32" i="24" l="1"/>
  <c r="N3" i="24"/>
  <c r="O3" i="24" s="1"/>
  <c r="N13" i="24"/>
  <c r="B46" i="15"/>
  <c r="C45" i="15"/>
  <c r="C37" i="10"/>
  <c r="B38" i="10"/>
  <c r="F34" i="9"/>
  <c r="F36" i="9"/>
  <c r="D46" i="24" l="1"/>
  <c r="I46" i="24" s="1"/>
  <c r="J46" i="24" s="1"/>
  <c r="G36" i="9"/>
  <c r="D37" i="24"/>
  <c r="I37" i="24" s="1"/>
  <c r="G34" i="9"/>
  <c r="O32" i="24"/>
  <c r="I14" i="24"/>
  <c r="J14" i="24" s="1"/>
  <c r="I42" i="24"/>
  <c r="J42" i="24" s="1"/>
  <c r="O13" i="24"/>
  <c r="B47" i="15"/>
  <c r="C46" i="15"/>
  <c r="C38" i="10"/>
  <c r="B39" i="10"/>
  <c r="B40" i="10" s="1"/>
  <c r="B41" i="10" s="1"/>
  <c r="B42" i="10" s="1"/>
  <c r="B43" i="10" s="1"/>
  <c r="B44" i="10" s="1"/>
  <c r="B45" i="10" s="1"/>
  <c r="B46" i="10" s="1"/>
  <c r="B47" i="10" s="1"/>
  <c r="B48" i="10" s="1"/>
  <c r="J37" i="24" l="1"/>
  <c r="N42" i="24"/>
  <c r="O42" i="24" s="1"/>
  <c r="N37" i="24"/>
  <c r="N46" i="24"/>
  <c r="B48" i="15"/>
  <c r="C47" i="15"/>
  <c r="D48" i="10"/>
  <c r="B49" i="10"/>
  <c r="F37" i="9"/>
  <c r="F38" i="9"/>
  <c r="D44" i="24" l="1"/>
  <c r="I44" i="24" s="1"/>
  <c r="G38" i="9"/>
  <c r="D29" i="24"/>
  <c r="I29" i="24" s="1"/>
  <c r="J29" i="24" s="1"/>
  <c r="G37" i="9"/>
  <c r="I45" i="24"/>
  <c r="J45" i="24" s="1"/>
  <c r="I36" i="24"/>
  <c r="O46" i="24"/>
  <c r="O37" i="24"/>
  <c r="J43" i="9"/>
  <c r="J44" i="9"/>
  <c r="C48" i="15"/>
  <c r="B49" i="15"/>
  <c r="B50" i="10"/>
  <c r="D49" i="10"/>
  <c r="J45" i="9" s="1"/>
  <c r="G51" i="9" l="1"/>
  <c r="G50" i="9"/>
  <c r="G53" i="9"/>
  <c r="K4" i="5" s="1"/>
  <c r="K43" i="9"/>
  <c r="E48" i="24"/>
  <c r="K45" i="9"/>
  <c r="E36" i="24"/>
  <c r="K44" i="9"/>
  <c r="E19" i="24"/>
  <c r="N14" i="24"/>
  <c r="O14" i="24" s="1"/>
  <c r="J36" i="24"/>
  <c r="J44" i="24"/>
  <c r="N30" i="24"/>
  <c r="N19" i="24"/>
  <c r="O19" i="24" s="1"/>
  <c r="N36" i="24"/>
  <c r="O36" i="24" s="1"/>
  <c r="J51" i="24"/>
  <c r="N45" i="24"/>
  <c r="O45" i="24" s="1"/>
  <c r="N44" i="24"/>
  <c r="J17" i="5"/>
  <c r="N29" i="24"/>
  <c r="K17" i="5"/>
  <c r="C49" i="15"/>
  <c r="B50" i="15"/>
  <c r="D50" i="10"/>
  <c r="J46" i="9" s="1"/>
  <c r="B51" i="10"/>
  <c r="J4" i="5" l="1"/>
  <c r="L4" i="5" s="1"/>
  <c r="H58" i="9"/>
  <c r="G52" i="9"/>
  <c r="Q19" i="24"/>
  <c r="L19" i="24"/>
  <c r="Q36" i="24"/>
  <c r="L36" i="24"/>
  <c r="K46" i="9"/>
  <c r="E15" i="24"/>
  <c r="L48" i="24"/>
  <c r="Q48" i="24"/>
  <c r="J50" i="24"/>
  <c r="J52" i="24" s="1"/>
  <c r="J53" i="24" s="1"/>
  <c r="O30" i="24"/>
  <c r="K16" i="5"/>
  <c r="K18" i="5" s="1"/>
  <c r="K19" i="5" s="1"/>
  <c r="O51" i="24"/>
  <c r="J16" i="5"/>
  <c r="O29" i="24"/>
  <c r="O44" i="24"/>
  <c r="C50" i="15"/>
  <c r="B51" i="15"/>
  <c r="D51" i="10"/>
  <c r="B52" i="10"/>
  <c r="H47" i="9" l="1"/>
  <c r="H39" i="9"/>
  <c r="F8" i="4" s="1"/>
  <c r="G8" i="4" s="1"/>
  <c r="O8" i="4" s="1"/>
  <c r="H49" i="9"/>
  <c r="F39" i="4" s="1"/>
  <c r="H45" i="9"/>
  <c r="F38" i="4" s="1"/>
  <c r="S38" i="4" s="1"/>
  <c r="H48" i="9"/>
  <c r="H41" i="9"/>
  <c r="F36" i="4" s="1"/>
  <c r="S36" i="4" s="1"/>
  <c r="H42" i="9"/>
  <c r="F24" i="4" s="1"/>
  <c r="S24" i="4" s="1"/>
  <c r="H46" i="9"/>
  <c r="F41" i="4" s="1"/>
  <c r="S41" i="4" s="1"/>
  <c r="H44" i="9"/>
  <c r="H43" i="9"/>
  <c r="F47" i="4" s="1"/>
  <c r="S47" i="4" s="1"/>
  <c r="H40" i="9"/>
  <c r="F46" i="4" s="1"/>
  <c r="G46" i="4" s="1"/>
  <c r="O46" i="4" s="1"/>
  <c r="H4" i="9"/>
  <c r="F3" i="4" s="1"/>
  <c r="H5" i="9"/>
  <c r="F7" i="4" s="1"/>
  <c r="H6" i="9"/>
  <c r="F5" i="4" s="1"/>
  <c r="H7" i="9"/>
  <c r="F2" i="4" s="1"/>
  <c r="S2" i="4" s="1"/>
  <c r="H8" i="9"/>
  <c r="F6" i="4" s="1"/>
  <c r="H9" i="9"/>
  <c r="H11" i="9"/>
  <c r="F15" i="4" s="1"/>
  <c r="H10" i="9"/>
  <c r="F28" i="4" s="1"/>
  <c r="S28" i="4" s="1"/>
  <c r="H12" i="9"/>
  <c r="F9" i="4" s="1"/>
  <c r="H13" i="9"/>
  <c r="H14" i="9"/>
  <c r="F32" i="4" s="1"/>
  <c r="S32" i="4" s="1"/>
  <c r="H15" i="9"/>
  <c r="F19" i="4" s="1"/>
  <c r="H16" i="9"/>
  <c r="F29" i="4" s="1"/>
  <c r="H20" i="9"/>
  <c r="H17" i="9"/>
  <c r="F12" i="4" s="1"/>
  <c r="H19" i="9"/>
  <c r="F25" i="4" s="1"/>
  <c r="G25" i="4" s="1"/>
  <c r="O25" i="4" s="1"/>
  <c r="H22" i="9"/>
  <c r="F21" i="4" s="1"/>
  <c r="S21" i="4" s="1"/>
  <c r="H21" i="9"/>
  <c r="H18" i="9"/>
  <c r="F23" i="4" s="1"/>
  <c r="S23" i="4" s="1"/>
  <c r="H24" i="9"/>
  <c r="F30" i="4" s="1"/>
  <c r="H23" i="9"/>
  <c r="F11" i="4" s="1"/>
  <c r="H26" i="9"/>
  <c r="H25" i="9"/>
  <c r="H28" i="9"/>
  <c r="F33" i="4" s="1"/>
  <c r="H27" i="9"/>
  <c r="F40" i="4" s="1"/>
  <c r="H30" i="9"/>
  <c r="H31" i="9"/>
  <c r="F18" i="4" s="1"/>
  <c r="S18" i="4" s="1"/>
  <c r="H29" i="9"/>
  <c r="F37" i="4" s="1"/>
  <c r="G37" i="4" s="1"/>
  <c r="O37" i="4" s="1"/>
  <c r="H32" i="9"/>
  <c r="F20" i="4" s="1"/>
  <c r="G20" i="4" s="1"/>
  <c r="O20" i="4" s="1"/>
  <c r="H33" i="9"/>
  <c r="H35" i="9"/>
  <c r="F31" i="4" s="1"/>
  <c r="S31" i="4" s="1"/>
  <c r="H34" i="9"/>
  <c r="F45" i="4" s="1"/>
  <c r="S45" i="4" s="1"/>
  <c r="H36" i="9"/>
  <c r="F35" i="4" s="1"/>
  <c r="S35" i="4" s="1"/>
  <c r="H37" i="9"/>
  <c r="H38" i="9"/>
  <c r="F43" i="4" s="1"/>
  <c r="F42" i="4"/>
  <c r="S42" i="4" s="1"/>
  <c r="Q15" i="24"/>
  <c r="L15" i="24"/>
  <c r="P19" i="24"/>
  <c r="M19" i="24"/>
  <c r="P36" i="24"/>
  <c r="M36" i="24"/>
  <c r="P14" i="24"/>
  <c r="P48" i="24"/>
  <c r="M48" i="24"/>
  <c r="L16" i="5"/>
  <c r="L18" i="5" s="1"/>
  <c r="L19" i="5" s="1"/>
  <c r="J18" i="5"/>
  <c r="J19" i="5" s="1"/>
  <c r="O50" i="24"/>
  <c r="O52" i="24" s="1"/>
  <c r="O53" i="24" s="1"/>
  <c r="F14" i="4"/>
  <c r="S14" i="4" s="1"/>
  <c r="F4" i="4"/>
  <c r="S4" i="4" s="1"/>
  <c r="F13" i="4"/>
  <c r="G13" i="4" s="1"/>
  <c r="O13" i="4" s="1"/>
  <c r="F44" i="4"/>
  <c r="F10" i="4"/>
  <c r="F16" i="4"/>
  <c r="F26" i="4"/>
  <c r="S26" i="4" s="1"/>
  <c r="F27" i="4"/>
  <c r="S27" i="4" s="1"/>
  <c r="F17" i="4"/>
  <c r="G17" i="4" s="1"/>
  <c r="O17" i="4" s="1"/>
  <c r="F34" i="4"/>
  <c r="G34" i="4" s="1"/>
  <c r="O34" i="4" s="1"/>
  <c r="C51" i="15"/>
  <c r="B52" i="15"/>
  <c r="D52" i="10"/>
  <c r="B53" i="10"/>
  <c r="G42" i="4" l="1"/>
  <c r="O42" i="4" s="1"/>
  <c r="S6" i="4"/>
  <c r="G6" i="4"/>
  <c r="O6" i="4" s="1"/>
  <c r="H53" i="9"/>
  <c r="H50" i="9"/>
  <c r="H51" i="9"/>
  <c r="M15" i="24"/>
  <c r="P15" i="24"/>
  <c r="P21" i="24"/>
  <c r="G14" i="4"/>
  <c r="O14" i="4" s="1"/>
  <c r="G21" i="4"/>
  <c r="O21" i="4" s="1"/>
  <c r="G26" i="4"/>
  <c r="O26" i="4" s="1"/>
  <c r="G28" i="4"/>
  <c r="O28" i="4" s="1"/>
  <c r="G32" i="4"/>
  <c r="O32" i="4" s="1"/>
  <c r="S34" i="4"/>
  <c r="G18" i="4"/>
  <c r="O18" i="4" s="1"/>
  <c r="S25" i="4"/>
  <c r="G27" i="4"/>
  <c r="O27" i="4" s="1"/>
  <c r="G41" i="4"/>
  <c r="O41" i="4" s="1"/>
  <c r="S20" i="4"/>
  <c r="G23" i="4"/>
  <c r="O23" i="4" s="1"/>
  <c r="S46" i="4"/>
  <c r="G38" i="4"/>
  <c r="O38" i="4" s="1"/>
  <c r="S13" i="4"/>
  <c r="G2" i="4"/>
  <c r="O2" i="4" s="1"/>
  <c r="S37" i="4"/>
  <c r="G36" i="4"/>
  <c r="O36" i="4" s="1"/>
  <c r="G24" i="4"/>
  <c r="O24" i="4" s="1"/>
  <c r="S17" i="4"/>
  <c r="G43" i="4"/>
  <c r="O43" i="4" s="1"/>
  <c r="S43" i="4"/>
  <c r="J5" i="5"/>
  <c r="G35" i="4"/>
  <c r="O35" i="4" s="1"/>
  <c r="G31" i="4"/>
  <c r="O31" i="4" s="1"/>
  <c r="S8" i="4"/>
  <c r="G4" i="4"/>
  <c r="O4" i="4" s="1"/>
  <c r="G45" i="4"/>
  <c r="O45" i="4" s="1"/>
  <c r="S19" i="4"/>
  <c r="G19" i="4"/>
  <c r="O19" i="4" s="1"/>
  <c r="S29" i="4"/>
  <c r="G29" i="4"/>
  <c r="O29" i="4" s="1"/>
  <c r="S5" i="4"/>
  <c r="G5" i="4"/>
  <c r="O5" i="4" s="1"/>
  <c r="S15" i="4"/>
  <c r="G15" i="4"/>
  <c r="O15" i="4" s="1"/>
  <c r="S33" i="4"/>
  <c r="G33" i="4"/>
  <c r="O33" i="4" s="1"/>
  <c r="G30" i="4"/>
  <c r="O30" i="4" s="1"/>
  <c r="S30" i="4"/>
  <c r="S16" i="4"/>
  <c r="G16" i="4"/>
  <c r="O16" i="4" s="1"/>
  <c r="S12" i="4"/>
  <c r="G12" i="4"/>
  <c r="O12" i="4" s="1"/>
  <c r="S44" i="4"/>
  <c r="G44" i="4"/>
  <c r="O44" i="4" s="1"/>
  <c r="K5" i="5"/>
  <c r="G40" i="4"/>
  <c r="O40" i="4" s="1"/>
  <c r="S40" i="4"/>
  <c r="S11" i="4"/>
  <c r="G11" i="4"/>
  <c r="O11" i="4" s="1"/>
  <c r="S10" i="4"/>
  <c r="G10" i="4"/>
  <c r="O10" i="4" s="1"/>
  <c r="G9" i="4"/>
  <c r="O9" i="4" s="1"/>
  <c r="S9" i="4"/>
  <c r="G39" i="4"/>
  <c r="O39" i="4" s="1"/>
  <c r="S39" i="4"/>
  <c r="G7" i="4"/>
  <c r="O7" i="4" s="1"/>
  <c r="S7" i="4"/>
  <c r="G3" i="4"/>
  <c r="O3" i="4" s="1"/>
  <c r="S3" i="4"/>
  <c r="C52" i="15"/>
  <c r="B53" i="15"/>
  <c r="B54" i="10"/>
  <c r="D53" i="10"/>
  <c r="L5" i="5" l="1"/>
  <c r="C53" i="15"/>
  <c r="B54" i="15"/>
  <c r="D54" i="10"/>
  <c r="B55" i="10"/>
  <c r="C54" i="15" l="1"/>
  <c r="B55" i="15"/>
  <c r="B56" i="10"/>
  <c r="D55" i="10"/>
  <c r="J47" i="9" s="1"/>
  <c r="F22" i="4" s="1"/>
  <c r="G22" i="4" l="1"/>
  <c r="O22" i="4" s="1"/>
  <c r="S22" i="4"/>
  <c r="K47" i="9"/>
  <c r="K50" i="9" s="1"/>
  <c r="E35" i="24"/>
  <c r="C55" i="15"/>
  <c r="B56" i="15"/>
  <c r="D56" i="10"/>
  <c r="B57" i="10"/>
  <c r="K53" i="9" l="1"/>
  <c r="K6" i="5" s="1"/>
  <c r="K51" i="9"/>
  <c r="K52" i="9" s="1"/>
  <c r="Q35" i="24"/>
  <c r="Q50" i="24" s="1"/>
  <c r="Q52" i="24" s="1"/>
  <c r="Q53" i="24" s="1"/>
  <c r="L35" i="24"/>
  <c r="C56" i="15"/>
  <c r="B57" i="15"/>
  <c r="B58" i="10"/>
  <c r="D57" i="10"/>
  <c r="J6" i="5" l="1"/>
  <c r="L6" i="5" s="1"/>
  <c r="M35" i="24"/>
  <c r="P35" i="24"/>
  <c r="M51" i="24"/>
  <c r="K22" i="5"/>
  <c r="J22" i="5"/>
  <c r="C57" i="15"/>
  <c r="B58" i="15"/>
  <c r="D58" i="10"/>
  <c r="B59" i="10"/>
  <c r="Q51" i="24" l="1"/>
  <c r="J21" i="5"/>
  <c r="M50" i="24"/>
  <c r="M52" i="24" s="1"/>
  <c r="M53" i="24" s="1"/>
  <c r="K21" i="5"/>
  <c r="K23" i="5" s="1"/>
  <c r="K24" i="5" s="1"/>
  <c r="C58" i="15"/>
  <c r="B59" i="15"/>
  <c r="B60" i="10"/>
  <c r="D59" i="10"/>
  <c r="J23" i="5" l="1"/>
  <c r="J24" i="5" s="1"/>
  <c r="L21" i="5"/>
  <c r="L23" i="5" s="1"/>
  <c r="L24" i="5" s="1"/>
  <c r="C59" i="15"/>
  <c r="B60" i="15"/>
  <c r="D60" i="10"/>
  <c r="B61" i="10"/>
  <c r="C60" i="15" l="1"/>
  <c r="B61" i="15"/>
  <c r="B62" i="10"/>
  <c r="D61" i="10"/>
  <c r="C61" i="15" l="1"/>
  <c r="B62" i="15"/>
  <c r="D62" i="10"/>
  <c r="B63" i="10"/>
  <c r="C62" i="15" l="1"/>
  <c r="B63" i="15"/>
  <c r="C63" i="15" s="1"/>
  <c r="B64" i="10"/>
  <c r="D63" i="10"/>
  <c r="D64" i="10" l="1"/>
  <c r="B65" i="10"/>
  <c r="H14" i="4" l="1"/>
  <c r="T14" i="4" s="1"/>
  <c r="I14" i="4"/>
  <c r="P14" i="4" s="1"/>
  <c r="H43" i="4"/>
  <c r="T43" i="4" s="1"/>
  <c r="I43" i="4"/>
  <c r="P43" i="4" s="1"/>
  <c r="H25" i="4"/>
  <c r="T25" i="4" s="1"/>
  <c r="I25" i="4"/>
  <c r="P25" i="4" s="1"/>
  <c r="H24" i="4"/>
  <c r="T24" i="4" s="1"/>
  <c r="I24" i="4"/>
  <c r="P24" i="4" s="1"/>
  <c r="H32" i="4"/>
  <c r="T32" i="4" s="1"/>
  <c r="I32" i="4"/>
  <c r="P32" i="4" s="1"/>
  <c r="H46" i="4"/>
  <c r="T46" i="4" s="1"/>
  <c r="I46" i="4"/>
  <c r="P46" i="4" s="1"/>
  <c r="H23" i="4"/>
  <c r="I23" i="4"/>
  <c r="P23" i="4" s="1"/>
  <c r="H40" i="4"/>
  <c r="T40" i="4" s="1"/>
  <c r="I40" i="4"/>
  <c r="P40" i="4" s="1"/>
  <c r="H8" i="4"/>
  <c r="T8" i="4" s="1"/>
  <c r="I8" i="4"/>
  <c r="P8" i="4" s="1"/>
  <c r="H26" i="4"/>
  <c r="T26" i="4" s="1"/>
  <c r="I26" i="4"/>
  <c r="P26" i="4" s="1"/>
  <c r="H35" i="4"/>
  <c r="T35" i="4" s="1"/>
  <c r="I35" i="4"/>
  <c r="P35" i="4" s="1"/>
  <c r="H34" i="4"/>
  <c r="T34" i="4" s="1"/>
  <c r="I34" i="4"/>
  <c r="P34" i="4" s="1"/>
  <c r="H13" i="4"/>
  <c r="T13" i="4" s="1"/>
  <c r="I13" i="4"/>
  <c r="P13" i="4" s="1"/>
  <c r="H15" i="4"/>
  <c r="T15" i="4" s="1"/>
  <c r="I15" i="4"/>
  <c r="P15" i="4" s="1"/>
  <c r="H39" i="4"/>
  <c r="T39" i="4" s="1"/>
  <c r="I39" i="4"/>
  <c r="P39" i="4" s="1"/>
  <c r="H29" i="4"/>
  <c r="T29" i="4" s="1"/>
  <c r="I29" i="4"/>
  <c r="P29" i="4" s="1"/>
  <c r="H10" i="4"/>
  <c r="T10" i="4" s="1"/>
  <c r="I10" i="4"/>
  <c r="P10" i="4" s="1"/>
  <c r="H5" i="4"/>
  <c r="T5" i="4" s="1"/>
  <c r="I5" i="4"/>
  <c r="P5" i="4" s="1"/>
  <c r="H45" i="4"/>
  <c r="T45" i="4" s="1"/>
  <c r="I45" i="4"/>
  <c r="P45" i="4" s="1"/>
  <c r="H2" i="4"/>
  <c r="T2" i="4" s="1"/>
  <c r="I2" i="4"/>
  <c r="H20" i="4"/>
  <c r="T20" i="4" s="1"/>
  <c r="I20" i="4"/>
  <c r="P20" i="4" s="1"/>
  <c r="H27" i="4"/>
  <c r="T27" i="4" s="1"/>
  <c r="I27" i="4"/>
  <c r="P27" i="4" s="1"/>
  <c r="H19" i="4"/>
  <c r="T19" i="4" s="1"/>
  <c r="I19" i="4"/>
  <c r="P19" i="4" s="1"/>
  <c r="H31" i="4"/>
  <c r="I31" i="4"/>
  <c r="P31" i="4" s="1"/>
  <c r="H42" i="4"/>
  <c r="T42" i="4" s="1"/>
  <c r="I42" i="4"/>
  <c r="P42" i="4" s="1"/>
  <c r="H37" i="4"/>
  <c r="I37" i="4"/>
  <c r="P37" i="4" s="1"/>
  <c r="H3" i="4"/>
  <c r="I3" i="4"/>
  <c r="P3" i="4" s="1"/>
  <c r="H18" i="4"/>
  <c r="T18" i="4" s="1"/>
  <c r="I18" i="4"/>
  <c r="P18" i="4" s="1"/>
  <c r="H33" i="4"/>
  <c r="T33" i="4" s="1"/>
  <c r="I33" i="4"/>
  <c r="P33" i="4" s="1"/>
  <c r="H30" i="4"/>
  <c r="T30" i="4" s="1"/>
  <c r="I30" i="4"/>
  <c r="P30" i="4" s="1"/>
  <c r="H11" i="4"/>
  <c r="T11" i="4" s="1"/>
  <c r="I11" i="4"/>
  <c r="P11" i="4" s="1"/>
  <c r="H21" i="4"/>
  <c r="T21" i="4" s="1"/>
  <c r="I21" i="4"/>
  <c r="P21" i="4" s="1"/>
  <c r="H6" i="4"/>
  <c r="T6" i="4" s="1"/>
  <c r="I6" i="4"/>
  <c r="P6" i="4" s="1"/>
  <c r="H47" i="4"/>
  <c r="T47" i="4" s="1"/>
  <c r="I47" i="4"/>
  <c r="P47" i="4" s="1"/>
  <c r="H17" i="4"/>
  <c r="T17" i="4" s="1"/>
  <c r="I17" i="4"/>
  <c r="P17" i="4" s="1"/>
  <c r="H38" i="4"/>
  <c r="T38" i="4" s="1"/>
  <c r="I38" i="4"/>
  <c r="P38" i="4" s="1"/>
  <c r="H36" i="4"/>
  <c r="T36" i="4" s="1"/>
  <c r="I36" i="4"/>
  <c r="P36" i="4" s="1"/>
  <c r="H4" i="4"/>
  <c r="T4" i="4" s="1"/>
  <c r="I4" i="4"/>
  <c r="P4" i="4" s="1"/>
  <c r="H12" i="4"/>
  <c r="T12" i="4" s="1"/>
  <c r="I12" i="4"/>
  <c r="P12" i="4" s="1"/>
  <c r="H41" i="4"/>
  <c r="T41" i="4" s="1"/>
  <c r="I41" i="4"/>
  <c r="P41" i="4" s="1"/>
  <c r="H44" i="4"/>
  <c r="T44" i="4" s="1"/>
  <c r="I44" i="4"/>
  <c r="P44" i="4" s="1"/>
  <c r="H9" i="4"/>
  <c r="T9" i="4" s="1"/>
  <c r="I9" i="4"/>
  <c r="P9" i="4" s="1"/>
  <c r="H16" i="4"/>
  <c r="T16" i="4" s="1"/>
  <c r="I16" i="4"/>
  <c r="P16" i="4" s="1"/>
  <c r="H22" i="4"/>
  <c r="T22" i="4" s="1"/>
  <c r="I22" i="4"/>
  <c r="P22" i="4" s="1"/>
  <c r="H28" i="4"/>
  <c r="T28" i="4" s="1"/>
  <c r="I28" i="4"/>
  <c r="P28" i="4" s="1"/>
  <c r="H7" i="4"/>
  <c r="T7" i="4" s="1"/>
  <c r="I7" i="4"/>
  <c r="P7" i="4" s="1"/>
  <c r="J39" i="4"/>
  <c r="K39" i="4" s="1"/>
  <c r="J25" i="4"/>
  <c r="K25" i="4" s="1"/>
  <c r="J11" i="4"/>
  <c r="K11" i="4" s="1"/>
  <c r="J32" i="4"/>
  <c r="K32" i="4" s="1"/>
  <c r="J8" i="4"/>
  <c r="K8" i="4" s="1"/>
  <c r="J10" i="4"/>
  <c r="K10" i="4" s="1"/>
  <c r="J42" i="4"/>
  <c r="K42" i="4" s="1"/>
  <c r="J20" i="4"/>
  <c r="K20" i="4" s="1"/>
  <c r="J33" i="4"/>
  <c r="K33" i="4" s="1"/>
  <c r="J14" i="4"/>
  <c r="K14" i="4" s="1"/>
  <c r="J41" i="4"/>
  <c r="K41" i="4" s="1"/>
  <c r="J6" i="4"/>
  <c r="K6" i="4" s="1"/>
  <c r="J19" i="4"/>
  <c r="K19" i="4" s="1"/>
  <c r="J35" i="4"/>
  <c r="K35" i="4" s="1"/>
  <c r="J43" i="4"/>
  <c r="K43" i="4" s="1"/>
  <c r="J17" i="4"/>
  <c r="K17" i="4" s="1"/>
  <c r="J13" i="4"/>
  <c r="K13" i="4" s="1"/>
  <c r="J45" i="4"/>
  <c r="K45" i="4" s="1"/>
  <c r="J36" i="4"/>
  <c r="K36" i="4" s="1"/>
  <c r="J12" i="4"/>
  <c r="K12" i="4" s="1"/>
  <c r="J44" i="4"/>
  <c r="K44" i="4" s="1"/>
  <c r="J28" i="4"/>
  <c r="K28" i="4" s="1"/>
  <c r="B66" i="10"/>
  <c r="D66" i="10" s="1"/>
  <c r="D65" i="10"/>
  <c r="F48" i="4"/>
  <c r="D48" i="4"/>
  <c r="J16" i="4" l="1"/>
  <c r="K16" i="4" s="1"/>
  <c r="J24" i="4"/>
  <c r="K24" i="4" s="1"/>
  <c r="J46" i="4"/>
  <c r="K46" i="4" s="1"/>
  <c r="J47" i="4"/>
  <c r="K47" i="4" s="1"/>
  <c r="J40" i="4"/>
  <c r="K40" i="4" s="1"/>
  <c r="J4" i="4"/>
  <c r="K4" i="4" s="1"/>
  <c r="J21" i="4"/>
  <c r="K21" i="4" s="1"/>
  <c r="J5" i="4"/>
  <c r="K5" i="4" s="1"/>
  <c r="J27" i="4"/>
  <c r="K27" i="4" s="1"/>
  <c r="J7" i="4"/>
  <c r="K7" i="4" s="1"/>
  <c r="J2" i="4"/>
  <c r="K2" i="4" s="1"/>
  <c r="P2" i="4"/>
  <c r="T37" i="4"/>
  <c r="J37" i="4"/>
  <c r="K37" i="4" s="1"/>
  <c r="H48" i="4"/>
  <c r="J34" i="4"/>
  <c r="K34" i="4" s="1"/>
  <c r="J9" i="4"/>
  <c r="K9" i="4" s="1"/>
  <c r="J26" i="4"/>
  <c r="K26" i="4" s="1"/>
  <c r="J38" i="4"/>
  <c r="K38" i="4" s="1"/>
  <c r="J22" i="4"/>
  <c r="K22" i="4" s="1"/>
  <c r="J30" i="4"/>
  <c r="K30" i="4" s="1"/>
  <c r="T31" i="4"/>
  <c r="J31" i="4"/>
  <c r="K31" i="4" s="1"/>
  <c r="J29" i="4"/>
  <c r="K29" i="4" s="1"/>
  <c r="J15" i="4"/>
  <c r="K15" i="4" s="1"/>
  <c r="J18" i="4"/>
  <c r="K18" i="4" s="1"/>
  <c r="T3" i="4"/>
  <c r="J3" i="4"/>
  <c r="K3" i="4" s="1"/>
  <c r="T23" i="4"/>
  <c r="J23" i="4"/>
  <c r="K23" i="4" s="1"/>
  <c r="J48" i="4" l="1"/>
  <c r="K48" i="4" s="1"/>
  <c r="E21" i="5" l="1"/>
  <c r="E24" i="5" s="1"/>
  <c r="E35" i="5" s="1"/>
  <c r="E20" i="5"/>
  <c r="E23" i="5" s="1"/>
  <c r="E34" i="5" s="1"/>
</calcChain>
</file>

<file path=xl/sharedStrings.xml><?xml version="1.0" encoding="utf-8"?>
<sst xmlns="http://schemas.openxmlformats.org/spreadsheetml/2006/main" count="482" uniqueCount="257">
  <si>
    <t>HOSPID</t>
  </si>
  <si>
    <t>HOSPITAL NAME</t>
  </si>
  <si>
    <t>Southern Maryland Hospital Center</t>
  </si>
  <si>
    <t>Prince Georges Hospital Center</t>
  </si>
  <si>
    <t>Howard County General Hospital</t>
  </si>
  <si>
    <t>Bon Secours Hospital</t>
  </si>
  <si>
    <t>Peninsula Regional Medical Center</t>
  </si>
  <si>
    <t>Greater Baltimore Medical Center</t>
  </si>
  <si>
    <t>Johns Hopkins Bayview Medical Center</t>
  </si>
  <si>
    <t>Laurel Regional Hospital</t>
  </si>
  <si>
    <t>Fort Washington Medical Center</t>
  </si>
  <si>
    <t>Suburban Hospital</t>
  </si>
  <si>
    <t>Meritus Hospital</t>
  </si>
  <si>
    <t>Northwest Hospital Center</t>
  </si>
  <si>
    <t>Shady Grove Adventist Hospital</t>
  </si>
  <si>
    <t>Montgomery General Hospital</t>
  </si>
  <si>
    <t>St. Agnes Hospital</t>
  </si>
  <si>
    <t>Franklin Square Hospital Center</t>
  </si>
  <si>
    <t>Washington Adventist Hospital</t>
  </si>
  <si>
    <t>Union Memorial Hospital</t>
  </si>
  <si>
    <t>Carroll Hospital Center</t>
  </si>
  <si>
    <t>Holy Cross Hospital</t>
  </si>
  <si>
    <t>Good Samaritan Hospital</t>
  </si>
  <si>
    <t>Atlantic General Hospital</t>
  </si>
  <si>
    <t>Sinai Hospital</t>
  </si>
  <si>
    <t>Maryland General Hospital</t>
  </si>
  <si>
    <t>Civista Medical Center</t>
  </si>
  <si>
    <t>Harbor Hospital Center</t>
  </si>
  <si>
    <t>Union of Cecil</t>
  </si>
  <si>
    <t>University of Maryland Hospital</t>
  </si>
  <si>
    <t>Calvert Memorial Hospital</t>
  </si>
  <si>
    <t>Upper Chesapeake Medical Center</t>
  </si>
  <si>
    <t>Baltimore Washington Medical Center</t>
  </si>
  <si>
    <t>Frederick Memorial Hospital</t>
  </si>
  <si>
    <t>Memorial Hospital at Easton</t>
  </si>
  <si>
    <t>Chester River Hospital Center</t>
  </si>
  <si>
    <t>Doctors Community Hospital</t>
  </si>
  <si>
    <t>Western MD Regional Medical Center</t>
  </si>
  <si>
    <t>Mercy Medical Center</t>
  </si>
  <si>
    <t>Garrett County Memorial Hospital</t>
  </si>
  <si>
    <t>Anne Arundel Medical Center</t>
  </si>
  <si>
    <t>Harford Memorial Hospital</t>
  </si>
  <si>
    <t>Johns Hopkins Hospital</t>
  </si>
  <si>
    <t>Dorchester General Hospital</t>
  </si>
  <si>
    <t>St. Mary's Hospital</t>
  </si>
  <si>
    <t>Statewide Total</t>
  </si>
  <si>
    <t>HOSPITAL ID</t>
  </si>
  <si>
    <t xml:space="preserve">TOTAL NUMBER OF HOSPITAL INPATIENT DISCHARGES* </t>
  </si>
  <si>
    <t>TOTAL NUMBER OF READMISSIONS^</t>
  </si>
  <si>
    <t>PERCENT READMISSIONS</t>
  </si>
  <si>
    <t>TOTAL NUMBER OF EXPECTED READMISSIONS</t>
  </si>
  <si>
    <t>READMISSION RATIO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</si>
  <si>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</si>
  <si>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</si>
  <si>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</si>
  <si>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</si>
  <si>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</si>
  <si>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</si>
  <si>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</si>
  <si>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</si>
  <si>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</si>
  <si>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</si>
  <si>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</si>
  <si>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</si>
  <si>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</si>
  <si>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</si>
  <si>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</si>
  <si>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</si>
  <si>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</si>
  <si>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</si>
  <si>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</si>
  <si>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</si>
  <si>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</si>
  <si>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</si>
  <si>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</si>
  <si>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</si>
  <si>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</si>
  <si>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</si>
  <si>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</si>
  <si>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</si>
  <si>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</si>
  <si>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</si>
  <si>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</si>
  <si>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</si>
  <si>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</si>
  <si>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</si>
  <si>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</si>
  <si>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</si>
  <si>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</si>
  <si>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</si>
  <si>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</si>
  <si>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</si>
  <si>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</si>
  <si>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</si>
  <si>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</si>
  <si>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</si>
  <si>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</si>
  <si>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</si>
  <si>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STATE</t>
  </si>
  <si>
    <t>Estimated Inpatient RY 2016 Revenue (FY15*2.6%)</t>
  </si>
  <si>
    <t xml:space="preserve"> QBR FINAL POINTS</t>
  </si>
  <si>
    <t>Total rewards</t>
  </si>
  <si>
    <t>Total Penalties</t>
  </si>
  <si>
    <t>QBR REVENUE NEUTRAL ADJUSTED REVENUE IMPACT OF SCALING 1.0% FY2015</t>
  </si>
  <si>
    <t>UM St. Joseph</t>
  </si>
  <si>
    <t>READMISSIONS  Scaling Adjustment FY2016 YTD</t>
  </si>
  <si>
    <t>COMBINE ALL 3 PROGRAMS</t>
  </si>
  <si>
    <t>Adjustment Ratio</t>
  </si>
  <si>
    <t>Overall  Limit for Reductions as $</t>
  </si>
  <si>
    <t>Overall  Limit for Reductions as % of Statewide Total Inpatient Revenue</t>
  </si>
  <si>
    <t>Reward</t>
  </si>
  <si>
    <t>Penalty</t>
  </si>
  <si>
    <t>$</t>
  </si>
  <si>
    <t>MAXIMUM PENALTY</t>
  </si>
  <si>
    <t>$ Adjustment</t>
  </si>
  <si>
    <t>% Adjustment</t>
  </si>
  <si>
    <t>Adjusted Amounts</t>
  </si>
  <si>
    <t>Projected MHAC SCORE For Performance Year with 5 % Improvement</t>
  </si>
  <si>
    <t>Base FY2014 Score</t>
  </si>
  <si>
    <t>Estimated Inpatient Revenue (FY15*2.6%)</t>
  </si>
  <si>
    <t>Hospital Name</t>
  </si>
  <si>
    <t>Hospital ID</t>
  </si>
  <si>
    <t>*Minimum and maximum scaling scores based on CY 2013 Final Data Attainment Scores</t>
  </si>
  <si>
    <t>No rewards</t>
  </si>
  <si>
    <t>Reward Threshold</t>
  </si>
  <si>
    <t>Penalty threshold:</t>
  </si>
  <si>
    <t>Scores greater than or equal to</t>
  </si>
  <si>
    <t>Scores less than or equal to</t>
  </si>
  <si>
    <t>Exceed State Quality Target</t>
  </si>
  <si>
    <t>Below State Quality Target</t>
  </si>
  <si>
    <t>Final MHAC Score</t>
  </si>
  <si>
    <t>Projected MHAC SCORE For Performance Year with 8 % Improvement</t>
  </si>
  <si>
    <t>MHAC $ Revenue Neutral Scaling Adjustment FY2016 (5% SW imp)</t>
  </si>
  <si>
    <t>Potential Risk:</t>
  </si>
  <si>
    <t>% Inpatient Revenue</t>
  </si>
  <si>
    <t>MHAC</t>
  </si>
  <si>
    <t>QBR</t>
  </si>
  <si>
    <t>Sum without PAU</t>
  </si>
  <si>
    <t>Readmissions</t>
  </si>
  <si>
    <t>Absolute %</t>
  </si>
  <si>
    <t>Absolute $</t>
  </si>
  <si>
    <t>Total Percent of Revenue</t>
  </si>
  <si>
    <t>QBR %</t>
  </si>
  <si>
    <t>MHAC %</t>
  </si>
  <si>
    <t>READ %</t>
  </si>
  <si>
    <t>Scenario 1: Scaling for Below State Quality Target</t>
  </si>
  <si>
    <t>Scenario 2: Scaling for Exceed Target of</t>
  </si>
  <si>
    <t>SCALING BASIS</t>
  </si>
  <si>
    <t>REVENUE IMPACT OF SCALING</t>
  </si>
  <si>
    <t>REVENUE NEUTRAL ADJUSTED REVENUE IMPACT OF SCALING</t>
  </si>
  <si>
    <t>AverageScore:</t>
  </si>
  <si>
    <t>CY 13 YTD Risk Adjusted Readmission Rate</t>
  </si>
  <si>
    <t>CY14 YTD RISK ADJUSTED RATE</t>
  </si>
  <si>
    <t>RRIP</t>
  </si>
  <si>
    <t>Shared Savings</t>
  </si>
  <si>
    <t>Maryland - Total Revenue Adjustments</t>
  </si>
  <si>
    <t>Rewards</t>
  </si>
  <si>
    <t>Penalties</t>
  </si>
  <si>
    <t>MHAC (8% Improvement)</t>
  </si>
  <si>
    <t>FY16 Scaling</t>
  </si>
  <si>
    <t>FY 17 Scaling</t>
  </si>
  <si>
    <t>FY 17 Adjustment</t>
  </si>
  <si>
    <t>Max Penalty</t>
  </si>
  <si>
    <t>MHAC Below target</t>
  </si>
  <si>
    <t>MHAC Above Target</t>
  </si>
  <si>
    <t>Statewide</t>
  </si>
  <si>
    <t>Maximum Penalties and Rewards</t>
  </si>
  <si>
    <t>FY16 Reward</t>
  </si>
  <si>
    <t>Penalty Breakpoint</t>
  </si>
  <si>
    <t>Min Score</t>
  </si>
  <si>
    <t>Maximum Score</t>
  </si>
  <si>
    <t>Revenue Neutrality Adjustment</t>
  </si>
  <si>
    <t>Scaling Parameters</t>
  </si>
  <si>
    <t>QBR (current Scaling)</t>
  </si>
  <si>
    <t>QBR (preset Scaling)</t>
  </si>
  <si>
    <t>Total</t>
  </si>
  <si>
    <t>PAU</t>
  </si>
  <si>
    <t>PAU-excluding PQI</t>
  </si>
  <si>
    <t xml:space="preserve">All Payer Readmission Rate Change CY13-CY15 </t>
  </si>
  <si>
    <t>Payment Adjustments</t>
  </si>
  <si>
    <t>Higher than 8%</t>
  </si>
  <si>
    <t xml:space="preserve"> -10% or LOWER</t>
  </si>
  <si>
    <t>CY14</t>
  </si>
  <si>
    <t>CY13 Base Year Readmission Rate</t>
  </si>
  <si>
    <t>Required Reduction as a % of Inpatient Revenue</t>
  </si>
  <si>
    <t>Revenue Change Associated with Readmission Reduction</t>
  </si>
  <si>
    <t>Readmission Reduction Target Determination</t>
  </si>
  <si>
    <t>1.Single Scale</t>
  </si>
  <si>
    <t>Cumulative All Payer Readmission Statewide Target</t>
  </si>
  <si>
    <t>2a.Medicare Readmission Reduction Target Not Achieved</t>
  </si>
  <si>
    <t>2b.Medicare Readmission Reduction Target  Achieved</t>
  </si>
  <si>
    <t>2a.Statewide Goal not Met</t>
  </si>
  <si>
    <t>3b.Statewide Goal Met</t>
  </si>
  <si>
    <t>CY 14 TOTAL INPATIENT DISCHARGES*</t>
  </si>
  <si>
    <t>CY14 TOTAL READMISSIONS^</t>
  </si>
  <si>
    <t>CY 14 PERCENT READMISSIONS</t>
  </si>
  <si>
    <t>CY 14 TOTAL NUMBER OF EXPECTED READMISSIONS</t>
  </si>
  <si>
    <t>CY 14 READMISSION RATIO</t>
  </si>
  <si>
    <t>PERCENT CHANGE IN INDEX ADMISSIONS</t>
  </si>
  <si>
    <t>PERCENT CHANGE IN NUMBER OF READMISSIONS</t>
  </si>
  <si>
    <t xml:space="preserve">PERCENT CHANGE IN RISK ADJUSTED RATE </t>
  </si>
  <si>
    <t>Revenue Savings from Readmission Reductions</t>
  </si>
  <si>
    <t>CY 15 ESTIMATED READMISSION REDUCTION</t>
  </si>
  <si>
    <t>CY 15 Estimated Readmission Rate</t>
  </si>
  <si>
    <t>CY 14 is based on Jan-October Data</t>
  </si>
  <si>
    <t>Potential Negative Denominator Issue (Index decline&gt;Readmit Decline)</t>
  </si>
  <si>
    <t>CY15 reductions are estimated to be the same as CY14.</t>
  </si>
  <si>
    <t>Potential Positive Denominator Issue (Index Increase&gt;Readmit Increase)</t>
  </si>
  <si>
    <t xml:space="preserve">Revenue estimates are based on FY15. </t>
  </si>
  <si>
    <t>% Inpatient</t>
  </si>
  <si>
    <t>RRIP (Single Scale)</t>
  </si>
  <si>
    <t>RRIP (Target not met)</t>
  </si>
  <si>
    <t>RRIP (Target met)</t>
  </si>
  <si>
    <t>State</t>
  </si>
  <si>
    <t xml:space="preserve">GBR PAU: </t>
  </si>
  <si>
    <t>GBR PAU: Excluding PQI</t>
  </si>
  <si>
    <t xml:space="preserve">Sum with  PAU </t>
  </si>
  <si>
    <t>MD-US Difference AS (inc PAU)</t>
  </si>
  <si>
    <t>MS-US Difference AS (exc PQI 90)</t>
  </si>
  <si>
    <t>Sum exc  PQI</t>
  </si>
  <si>
    <t>Max Reward</t>
  </si>
  <si>
    <t>Exemptions</t>
  </si>
  <si>
    <t>per capita reduction</t>
  </si>
  <si>
    <t>Net Impact</t>
  </si>
  <si>
    <t xml:space="preserve">Net </t>
  </si>
  <si>
    <t>Percent Inpatient Revenue</t>
  </si>
  <si>
    <t>MHAC (Below Target)</t>
  </si>
  <si>
    <t>Net Total Adjustment</t>
  </si>
  <si>
    <t>Percent Inpatient Rev</t>
  </si>
  <si>
    <t>Percent Total Rev</t>
  </si>
  <si>
    <t>Net Impact with Hospital Penalty Limit
 (Below Target)</t>
  </si>
  <si>
    <t>Net Impact with Hospital Penalty Limit 
(Above Target)</t>
  </si>
  <si>
    <t>MD-US Difference without PAU</t>
  </si>
  <si>
    <t>Percent Total Revenue</t>
  </si>
  <si>
    <t>Maximum Net Impact as Percent Inpatient)</t>
  </si>
  <si>
    <t>Maximum Net Impact as Percent Inpatient</t>
  </si>
  <si>
    <t>MHAC Below Target</t>
  </si>
  <si>
    <t>Max Reduction</t>
  </si>
  <si>
    <t>Annual Target</t>
  </si>
  <si>
    <t>CY15*</t>
  </si>
  <si>
    <t>* For illustative purposes</t>
  </si>
  <si>
    <t>Medicare National - Potential IP revenue at risk absolute values</t>
  </si>
  <si>
    <t>Maryland - Potential revenue at risk absolute values</t>
  </si>
  <si>
    <t>Cumulative</t>
  </si>
  <si>
    <t>1. Readmission Reduction Program Modeling FY2017</t>
  </si>
  <si>
    <t xml:space="preserve">2. Readmission Reduction Program Modeling for FY2017 </t>
  </si>
  <si>
    <t>5. Scaling for Penalties and Rewards based upon Final MHAC Scores</t>
  </si>
  <si>
    <t xml:space="preserve">7. Aggregate Amount At Risk Summary </t>
  </si>
  <si>
    <t>8. MHAC-QBR-RRIP Consolidated Adjustments - Modeling for FY2017</t>
  </si>
  <si>
    <t>4. QBR SCALING MODELING FOR FY2017</t>
  </si>
  <si>
    <t>3. Scaling for Penalties and Rewards based upon Final QBR Scores</t>
  </si>
  <si>
    <t>MHAC Below Target w/ 0.5% Penalty Limit</t>
  </si>
  <si>
    <t>Net  Impact 
(Below Target)</t>
  </si>
  <si>
    <t>Net Impact 
(Above Target)</t>
  </si>
  <si>
    <t>MHAC 
(Below Target)</t>
  </si>
  <si>
    <t>MHAC 
(Above Target)</t>
  </si>
  <si>
    <t>Table 6: Scaling Modeling for MHAC for FY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</si>
</sst>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%"/>
    <numFmt numFmtId="166" formatCode="&quot;$&quot;#,##0"/>
    <numFmt numFmtId="167" formatCode="_(* #,##0_);_(* \(#,##0\);_(* &quot;-&quot;??_);_(@_)"/>
    <numFmt numFmtId="168" formatCode="_(&quot;$&quot;* #,##0_);_(&quot;$&quot;* \(#,##0\);_(&quot;$&quot;* &quot;-&quot;??_);_(@_)"/>
    <numFmt numFmtId="169" formatCode="_(&quot;$&quot;* #,##0.0_);_(&quot;$&quot;* \(#,##0.0\);_(&quot;$&quot;* &quot;-&quot;??_);_(@_)"/>
    <numFmt numFmtId="170" formatCode="#,##0.000000"/>
    <numFmt numFmtId="171" formatCode="0.0000"/>
    <numFmt numFmtId="172" formatCode="0.0%"/>
    <numFmt numFmtId="173" formatCode="[$-409]mmm\-yy;@"/>
    <numFmt numFmtId="174" formatCode="General_)"/>
    <numFmt numFmtId="175" formatCode="&quot;$&quot;#,##0;[Red]&quot;$&quot;#,##0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name val="Calibri"/>
      <family val="2"/>
    </font>
    <font>
      <u/>
      <sz val="12"/>
      <color indexed="12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12"/>
      <name val="SWISS"/>
    </font>
    <font>
      <b/>
      <sz val="18"/>
      <name val="Arial"/>
      <family val="2"/>
    </font>
    <font>
      <u/>
      <sz val="12"/>
      <color theme="10"/>
      <name val="Arial"/>
      <family val="2"/>
    </font>
    <font>
      <sz val="10"/>
      <color theme="1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Arial, Helvetica, sans-serif"/>
    </font>
    <font>
      <sz val="8"/>
      <color rgb="FF000000"/>
      <name val="Arial, Albany AMT, Helvetica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u/>
      <sz val="10"/>
      <color rgb="FF004488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7"/>
      <name val="Helv"/>
    </font>
    <font>
      <sz val="6"/>
      <name val="Helv"/>
    </font>
    <font>
      <sz val="8"/>
      <name val="Helv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8"/>
      </patternFill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6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9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0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0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0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0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0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0" fillId="4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0" fillId="5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0" fillId="5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0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0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0" fillId="52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1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5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3" fillId="54" borderId="15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5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14" fontId="21" fillId="0" borderId="0" applyFont="0" applyFill="0" applyBorder="0" applyAlignment="0" applyProtection="0"/>
    <xf numFmtId="14" fontId="21" fillId="0" borderId="0" applyFont="0" applyFill="0" applyBorder="0" applyAlignment="0" applyProtection="0"/>
    <xf numFmtId="0" fontId="42" fillId="0" borderId="0" applyFont="0" applyBorder="0" applyAlignment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35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" fontId="43" fillId="0" borderId="0" applyNumberFormat="0" applyFon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3" fontId="28" fillId="0" borderId="0" applyNumberFormat="0" applyFont="0" applyFill="0" applyAlignment="0" applyProtection="0"/>
    <xf numFmtId="3" fontId="28" fillId="0" borderId="0" applyNumberFormat="0" applyFon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36" fillId="0" borderId="16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37" fillId="40" borderId="1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8" fillId="0" borderId="1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2" fillId="0" borderId="0"/>
    <xf numFmtId="0" fontId="24" fillId="0" borderId="0"/>
    <xf numFmtId="0" fontId="18" fillId="0" borderId="0"/>
    <xf numFmtId="0" fontId="21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22" fillId="0" borderId="0"/>
    <xf numFmtId="0" fontId="45" fillId="0" borderId="0"/>
    <xf numFmtId="0" fontId="25" fillId="0" borderId="0"/>
    <xf numFmtId="0" fontId="18" fillId="0" borderId="0"/>
    <xf numFmtId="0" fontId="27" fillId="0" borderId="0"/>
    <xf numFmtId="0" fontId="1" fillId="0" borderId="0"/>
    <xf numFmtId="0" fontId="22" fillId="0" borderId="0"/>
    <xf numFmtId="0" fontId="24" fillId="0" borderId="0"/>
    <xf numFmtId="0" fontId="24" fillId="56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1" fillId="57" borderId="0" applyNumberFormat="0" applyFont="0" applyFill="0" applyBorder="0" applyAlignment="0" applyProtection="0"/>
    <xf numFmtId="0" fontId="41" fillId="57" borderId="0" applyNumberFormat="0" applyFont="0" applyFill="0" applyBorder="0" applyAlignment="0" applyProtection="0"/>
    <xf numFmtId="0" fontId="40" fillId="53" borderId="19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3" fontId="21" fillId="0" borderId="20" applyNumberFormat="0" applyFont="0" applyBorder="0" applyAlignment="0" applyProtection="0"/>
    <xf numFmtId="3" fontId="21" fillId="0" borderId="20" applyNumberFormat="0" applyFont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173" fontId="1" fillId="10" borderId="0" applyNumberFormat="0" applyBorder="0" applyAlignment="0" applyProtection="0"/>
    <xf numFmtId="173" fontId="1" fillId="35" borderId="0" applyNumberFormat="0" applyBorder="0" applyAlignment="0" applyProtection="0"/>
    <xf numFmtId="173" fontId="18" fillId="35" borderId="0" applyNumberFormat="0" applyBorder="0" applyAlignment="0" applyProtection="0"/>
    <xf numFmtId="173" fontId="18" fillId="35" borderId="0" applyNumberFormat="0" applyBorder="0" applyAlignment="0" applyProtection="0"/>
    <xf numFmtId="0" fontId="18" fillId="35" borderId="0" applyNumberFormat="0" applyBorder="0" applyAlignment="0" applyProtection="0"/>
    <xf numFmtId="173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73" fontId="1" fillId="14" borderId="0" applyNumberFormat="0" applyBorder="0" applyAlignment="0" applyProtection="0"/>
    <xf numFmtId="173" fontId="1" fillId="36" borderId="0" applyNumberFormat="0" applyBorder="0" applyAlignment="0" applyProtection="0"/>
    <xf numFmtId="173" fontId="18" fillId="36" borderId="0" applyNumberFormat="0" applyBorder="0" applyAlignment="0" applyProtection="0"/>
    <xf numFmtId="173" fontId="18" fillId="36" borderId="0" applyNumberFormat="0" applyBorder="0" applyAlignment="0" applyProtection="0"/>
    <xf numFmtId="0" fontId="18" fillId="36" borderId="0" applyNumberFormat="0" applyBorder="0" applyAlignment="0" applyProtection="0"/>
    <xf numFmtId="173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3" fontId="1" fillId="18" borderId="0" applyNumberFormat="0" applyBorder="0" applyAlignment="0" applyProtection="0"/>
    <xf numFmtId="173" fontId="1" fillId="37" borderId="0" applyNumberFormat="0" applyBorder="0" applyAlignment="0" applyProtection="0"/>
    <xf numFmtId="173" fontId="18" fillId="37" borderId="0" applyNumberFormat="0" applyBorder="0" applyAlignment="0" applyProtection="0"/>
    <xf numFmtId="173" fontId="18" fillId="37" borderId="0" applyNumberFormat="0" applyBorder="0" applyAlignment="0" applyProtection="0"/>
    <xf numFmtId="0" fontId="18" fillId="37" borderId="0" applyNumberFormat="0" applyBorder="0" applyAlignment="0" applyProtection="0"/>
    <xf numFmtId="173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3" fontId="1" fillId="22" borderId="0" applyNumberFormat="0" applyBorder="0" applyAlignment="0" applyProtection="0"/>
    <xf numFmtId="173" fontId="1" fillId="38" borderId="0" applyNumberFormat="0" applyBorder="0" applyAlignment="0" applyProtection="0"/>
    <xf numFmtId="173" fontId="18" fillId="38" borderId="0" applyNumberFormat="0" applyBorder="0" applyAlignment="0" applyProtection="0"/>
    <xf numFmtId="173" fontId="18" fillId="38" borderId="0" applyNumberFormat="0" applyBorder="0" applyAlignment="0" applyProtection="0"/>
    <xf numFmtId="0" fontId="18" fillId="38" borderId="0" applyNumberFormat="0" applyBorder="0" applyAlignment="0" applyProtection="0"/>
    <xf numFmtId="173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73" fontId="1" fillId="26" borderId="0" applyNumberFormat="0" applyBorder="0" applyAlignment="0" applyProtection="0"/>
    <xf numFmtId="173" fontId="18" fillId="39" borderId="0" applyNumberFormat="0" applyBorder="0" applyAlignment="0" applyProtection="0"/>
    <xf numFmtId="173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173" fontId="1" fillId="30" borderId="0" applyNumberFormat="0" applyBorder="0" applyAlignment="0" applyProtection="0"/>
    <xf numFmtId="173" fontId="18" fillId="40" borderId="0" applyNumberFormat="0" applyBorder="0" applyAlignment="0" applyProtection="0"/>
    <xf numFmtId="173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3" fontId="1" fillId="11" borderId="0" applyNumberFormat="0" applyBorder="0" applyAlignment="0" applyProtection="0"/>
    <xf numFmtId="173" fontId="18" fillId="41" borderId="0" applyNumberFormat="0" applyBorder="0" applyAlignment="0" applyProtection="0"/>
    <xf numFmtId="173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73" fontId="1" fillId="15" borderId="0" applyNumberFormat="0" applyBorder="0" applyAlignment="0" applyProtection="0"/>
    <xf numFmtId="173" fontId="18" fillId="42" borderId="0" applyNumberFormat="0" applyBorder="0" applyAlignment="0" applyProtection="0"/>
    <xf numFmtId="173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73" fontId="1" fillId="19" borderId="0" applyNumberFormat="0" applyBorder="0" applyAlignment="0" applyProtection="0"/>
    <xf numFmtId="173" fontId="1" fillId="43" borderId="0" applyNumberFormat="0" applyBorder="0" applyAlignment="0" applyProtection="0"/>
    <xf numFmtId="173" fontId="18" fillId="43" borderId="0" applyNumberFormat="0" applyBorder="0" applyAlignment="0" applyProtection="0"/>
    <xf numFmtId="173" fontId="18" fillId="43" borderId="0" applyNumberFormat="0" applyBorder="0" applyAlignment="0" applyProtection="0"/>
    <xf numFmtId="0" fontId="18" fillId="43" borderId="0" applyNumberFormat="0" applyBorder="0" applyAlignment="0" applyProtection="0"/>
    <xf numFmtId="173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73" fontId="1" fillId="23" borderId="0" applyNumberFormat="0" applyBorder="0" applyAlignment="0" applyProtection="0"/>
    <xf numFmtId="173" fontId="18" fillId="38" borderId="0" applyNumberFormat="0" applyBorder="0" applyAlignment="0" applyProtection="0"/>
    <xf numFmtId="173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73" fontId="1" fillId="27" borderId="0" applyNumberFormat="0" applyBorder="0" applyAlignment="0" applyProtection="0"/>
    <xf numFmtId="173" fontId="18" fillId="41" borderId="0" applyNumberFormat="0" applyBorder="0" applyAlignment="0" applyProtection="0"/>
    <xf numFmtId="173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173" fontId="1" fillId="31" borderId="0" applyNumberFormat="0" applyBorder="0" applyAlignment="0" applyProtection="0"/>
    <xf numFmtId="173" fontId="18" fillId="44" borderId="0" applyNumberFormat="0" applyBorder="0" applyAlignment="0" applyProtection="0"/>
    <xf numFmtId="173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3" fontId="17" fillId="12" borderId="0" applyNumberFormat="0" applyBorder="0" applyAlignment="0" applyProtection="0"/>
    <xf numFmtId="173" fontId="66" fillId="45" borderId="0" applyNumberFormat="0" applyBorder="0" applyAlignment="0" applyProtection="0"/>
    <xf numFmtId="173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17" fillId="12" borderId="0" applyNumberFormat="0" applyBorder="0" applyAlignment="0" applyProtection="0"/>
    <xf numFmtId="173" fontId="17" fillId="16" borderId="0" applyNumberFormat="0" applyBorder="0" applyAlignment="0" applyProtection="0"/>
    <xf numFmtId="173" fontId="66" fillId="42" borderId="0" applyNumberFormat="0" applyBorder="0" applyAlignment="0" applyProtection="0"/>
    <xf numFmtId="173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17" fillId="16" borderId="0" applyNumberFormat="0" applyBorder="0" applyAlignment="0" applyProtection="0"/>
    <xf numFmtId="173" fontId="17" fillId="20" borderId="0" applyNumberFormat="0" applyBorder="0" applyAlignment="0" applyProtection="0"/>
    <xf numFmtId="173" fontId="17" fillId="43" borderId="0" applyNumberFormat="0" applyBorder="0" applyAlignment="0" applyProtection="0"/>
    <xf numFmtId="173" fontId="66" fillId="43" borderId="0" applyNumberFormat="0" applyBorder="0" applyAlignment="0" applyProtection="0"/>
    <xf numFmtId="173" fontId="66" fillId="43" borderId="0" applyNumberFormat="0" applyBorder="0" applyAlignment="0" applyProtection="0"/>
    <xf numFmtId="0" fontId="66" fillId="43" borderId="0" applyNumberFormat="0" applyBorder="0" applyAlignment="0" applyProtection="0"/>
    <xf numFmtId="173" fontId="17" fillId="20" borderId="0" applyNumberFormat="0" applyBorder="0" applyAlignment="0" applyProtection="0"/>
    <xf numFmtId="0" fontId="17" fillId="20" borderId="0" applyNumberFormat="0" applyBorder="0" applyAlignment="0" applyProtection="0"/>
    <xf numFmtId="173" fontId="17" fillId="24" borderId="0" applyNumberFormat="0" applyBorder="0" applyAlignment="0" applyProtection="0"/>
    <xf numFmtId="173" fontId="17" fillId="46" borderId="0" applyNumberFormat="0" applyBorder="0" applyAlignment="0" applyProtection="0"/>
    <xf numFmtId="173" fontId="66" fillId="46" borderId="0" applyNumberFormat="0" applyBorder="0" applyAlignment="0" applyProtection="0"/>
    <xf numFmtId="173" fontId="66" fillId="46" borderId="0" applyNumberFormat="0" applyBorder="0" applyAlignment="0" applyProtection="0"/>
    <xf numFmtId="0" fontId="66" fillId="46" borderId="0" applyNumberFormat="0" applyBorder="0" applyAlignment="0" applyProtection="0"/>
    <xf numFmtId="173" fontId="17" fillId="24" borderId="0" applyNumberFormat="0" applyBorder="0" applyAlignment="0" applyProtection="0"/>
    <xf numFmtId="0" fontId="17" fillId="24" borderId="0" applyNumberFormat="0" applyBorder="0" applyAlignment="0" applyProtection="0"/>
    <xf numFmtId="173" fontId="17" fillId="28" borderId="0" applyNumberFormat="0" applyBorder="0" applyAlignment="0" applyProtection="0"/>
    <xf numFmtId="173" fontId="66" fillId="47" borderId="0" applyNumberFormat="0" applyBorder="0" applyAlignment="0" applyProtection="0"/>
    <xf numFmtId="173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17" fillId="28" borderId="0" applyNumberFormat="0" applyBorder="0" applyAlignment="0" applyProtection="0"/>
    <xf numFmtId="173" fontId="17" fillId="32" borderId="0" applyNumberFormat="0" applyBorder="0" applyAlignment="0" applyProtection="0"/>
    <xf numFmtId="173" fontId="17" fillId="48" borderId="0" applyNumberFormat="0" applyBorder="0" applyAlignment="0" applyProtection="0"/>
    <xf numFmtId="173" fontId="66" fillId="48" borderId="0" applyNumberFormat="0" applyBorder="0" applyAlignment="0" applyProtection="0"/>
    <xf numFmtId="173" fontId="66" fillId="48" borderId="0" applyNumberFormat="0" applyBorder="0" applyAlignment="0" applyProtection="0"/>
    <xf numFmtId="0" fontId="66" fillId="48" borderId="0" applyNumberFormat="0" applyBorder="0" applyAlignment="0" applyProtection="0"/>
    <xf numFmtId="173" fontId="17" fillId="32" borderId="0" applyNumberFormat="0" applyBorder="0" applyAlignment="0" applyProtection="0"/>
    <xf numFmtId="0" fontId="17" fillId="32" borderId="0" applyNumberFormat="0" applyBorder="0" applyAlignment="0" applyProtection="0"/>
    <xf numFmtId="173" fontId="17" fillId="9" borderId="0" applyNumberFormat="0" applyBorder="0" applyAlignment="0" applyProtection="0"/>
    <xf numFmtId="173" fontId="66" fillId="49" borderId="0" applyNumberFormat="0" applyBorder="0" applyAlignment="0" applyProtection="0"/>
    <xf numFmtId="173" fontId="66" fillId="49" borderId="0" applyNumberFormat="0" applyBorder="0" applyAlignment="0" applyProtection="0"/>
    <xf numFmtId="0" fontId="66" fillId="49" borderId="0" applyNumberFormat="0" applyBorder="0" applyAlignment="0" applyProtection="0"/>
    <xf numFmtId="0" fontId="17" fillId="9" borderId="0" applyNumberFormat="0" applyBorder="0" applyAlignment="0" applyProtection="0"/>
    <xf numFmtId="173" fontId="17" fillId="13" borderId="0" applyNumberFormat="0" applyBorder="0" applyAlignment="0" applyProtection="0"/>
    <xf numFmtId="173" fontId="66" fillId="50" borderId="0" applyNumberFormat="0" applyBorder="0" applyAlignment="0" applyProtection="0"/>
    <xf numFmtId="173" fontId="66" fillId="50" borderId="0" applyNumberFormat="0" applyBorder="0" applyAlignment="0" applyProtection="0"/>
    <xf numFmtId="0" fontId="66" fillId="50" borderId="0" applyNumberFormat="0" applyBorder="0" applyAlignment="0" applyProtection="0"/>
    <xf numFmtId="0" fontId="17" fillId="13" borderId="0" applyNumberFormat="0" applyBorder="0" applyAlignment="0" applyProtection="0"/>
    <xf numFmtId="173" fontId="17" fillId="17" borderId="0" applyNumberFormat="0" applyBorder="0" applyAlignment="0" applyProtection="0"/>
    <xf numFmtId="173" fontId="66" fillId="51" borderId="0" applyNumberFormat="0" applyBorder="0" applyAlignment="0" applyProtection="0"/>
    <xf numFmtId="173" fontId="66" fillId="51" borderId="0" applyNumberFormat="0" applyBorder="0" applyAlignment="0" applyProtection="0"/>
    <xf numFmtId="0" fontId="66" fillId="51" borderId="0" applyNumberFormat="0" applyBorder="0" applyAlignment="0" applyProtection="0"/>
    <xf numFmtId="0" fontId="17" fillId="17" borderId="0" applyNumberFormat="0" applyBorder="0" applyAlignment="0" applyProtection="0"/>
    <xf numFmtId="173" fontId="17" fillId="21" borderId="0" applyNumberFormat="0" applyBorder="0" applyAlignment="0" applyProtection="0"/>
    <xf numFmtId="173" fontId="66" fillId="46" borderId="0" applyNumberFormat="0" applyBorder="0" applyAlignment="0" applyProtection="0"/>
    <xf numFmtId="173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17" fillId="21" borderId="0" applyNumberFormat="0" applyBorder="0" applyAlignment="0" applyProtection="0"/>
    <xf numFmtId="173" fontId="17" fillId="25" borderId="0" applyNumberFormat="0" applyBorder="0" applyAlignment="0" applyProtection="0"/>
    <xf numFmtId="173" fontId="66" fillId="47" borderId="0" applyNumberFormat="0" applyBorder="0" applyAlignment="0" applyProtection="0"/>
    <xf numFmtId="173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17" fillId="25" borderId="0" applyNumberFormat="0" applyBorder="0" applyAlignment="0" applyProtection="0"/>
    <xf numFmtId="173" fontId="17" fillId="29" borderId="0" applyNumberFormat="0" applyBorder="0" applyAlignment="0" applyProtection="0"/>
    <xf numFmtId="173" fontId="66" fillId="52" borderId="0" applyNumberFormat="0" applyBorder="0" applyAlignment="0" applyProtection="0"/>
    <xf numFmtId="173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17" fillId="29" borderId="0" applyNumberFormat="0" applyBorder="0" applyAlignment="0" applyProtection="0"/>
    <xf numFmtId="173" fontId="7" fillId="3" borderId="0" applyNumberFormat="0" applyBorder="0" applyAlignment="0" applyProtection="0"/>
    <xf numFmtId="173" fontId="67" fillId="36" borderId="0" applyNumberFormat="0" applyBorder="0" applyAlignment="0" applyProtection="0"/>
    <xf numFmtId="173" fontId="67" fillId="36" borderId="0" applyNumberFormat="0" applyBorder="0" applyAlignment="0" applyProtection="0"/>
    <xf numFmtId="0" fontId="67" fillId="36" borderId="0" applyNumberFormat="0" applyBorder="0" applyAlignment="0" applyProtection="0"/>
    <xf numFmtId="0" fontId="7" fillId="3" borderId="0" applyNumberFormat="0" applyBorder="0" applyAlignment="0" applyProtection="0"/>
    <xf numFmtId="173" fontId="11" fillId="6" borderId="4" applyNumberFormat="0" applyAlignment="0" applyProtection="0"/>
    <xf numFmtId="173" fontId="68" fillId="53" borderId="14" applyNumberFormat="0" applyAlignment="0" applyProtection="0"/>
    <xf numFmtId="173" fontId="68" fillId="53" borderId="14" applyNumberFormat="0" applyAlignment="0" applyProtection="0"/>
    <xf numFmtId="173" fontId="68" fillId="53" borderId="14" applyNumberFormat="0" applyAlignment="0" applyProtection="0"/>
    <xf numFmtId="173" fontId="68" fillId="53" borderId="14" applyNumberFormat="0" applyAlignment="0" applyProtection="0"/>
    <xf numFmtId="173" fontId="68" fillId="53" borderId="14" applyNumberFormat="0" applyAlignment="0" applyProtection="0"/>
    <xf numFmtId="173" fontId="68" fillId="53" borderId="14" applyNumberFormat="0" applyAlignment="0" applyProtection="0"/>
    <xf numFmtId="0" fontId="68" fillId="53" borderId="14" applyNumberFormat="0" applyAlignment="0" applyProtection="0"/>
    <xf numFmtId="0" fontId="68" fillId="53" borderId="14" applyNumberFormat="0" applyAlignment="0" applyProtection="0"/>
    <xf numFmtId="0" fontId="68" fillId="53" borderId="14" applyNumberFormat="0" applyAlignment="0" applyProtection="0"/>
    <xf numFmtId="0" fontId="68" fillId="53" borderId="14" applyNumberFormat="0" applyAlignment="0" applyProtection="0"/>
    <xf numFmtId="0" fontId="68" fillId="53" borderId="14" applyNumberFormat="0" applyAlignment="0" applyProtection="0"/>
    <xf numFmtId="0" fontId="11" fillId="6" borderId="4" applyNumberFormat="0" applyAlignment="0" applyProtection="0"/>
    <xf numFmtId="173" fontId="13" fillId="7" borderId="7" applyNumberFormat="0" applyAlignment="0" applyProtection="0"/>
    <xf numFmtId="173" fontId="69" fillId="54" borderId="15" applyNumberFormat="0" applyAlignment="0" applyProtection="0"/>
    <xf numFmtId="173" fontId="69" fillId="54" borderId="15" applyNumberFormat="0" applyAlignment="0" applyProtection="0"/>
    <xf numFmtId="0" fontId="69" fillId="54" borderId="15" applyNumberFormat="0" applyAlignment="0" applyProtection="0"/>
    <xf numFmtId="0" fontId="13" fillId="7" borderId="7" applyNumberFormat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8" fillId="0" borderId="0" applyFont="0" applyFill="0" applyBorder="0" applyAlignment="0" applyProtection="0"/>
    <xf numFmtId="173" fontId="15" fillId="0" borderId="0" applyNumberFormat="0" applyFill="0" applyBorder="0" applyAlignment="0" applyProtection="0"/>
    <xf numFmtId="173" fontId="70" fillId="0" borderId="0" applyNumberFormat="0" applyFill="0" applyBorder="0" applyAlignment="0" applyProtection="0"/>
    <xf numFmtId="173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6" fillId="2" borderId="0" applyNumberFormat="0" applyBorder="0" applyAlignment="0" applyProtection="0"/>
    <xf numFmtId="173" fontId="72" fillId="37" borderId="0" applyNumberFormat="0" applyBorder="0" applyAlignment="0" applyProtection="0"/>
    <xf numFmtId="173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6" fillId="2" borderId="0" applyNumberFormat="0" applyBorder="0" applyAlignment="0" applyProtection="0"/>
    <xf numFmtId="173" fontId="3" fillId="0" borderId="1" applyNumberFormat="0" applyFill="0" applyAlignment="0" applyProtection="0"/>
    <xf numFmtId="173" fontId="73" fillId="0" borderId="52" applyNumberFormat="0" applyFill="0" applyAlignment="0" applyProtection="0"/>
    <xf numFmtId="173" fontId="73" fillId="0" borderId="52" applyNumberFormat="0" applyFill="0" applyAlignment="0" applyProtection="0"/>
    <xf numFmtId="0" fontId="73" fillId="0" borderId="52" applyNumberFormat="0" applyFill="0" applyAlignment="0" applyProtection="0"/>
    <xf numFmtId="0" fontId="3" fillId="0" borderId="1" applyNumberFormat="0" applyFill="0" applyAlignment="0" applyProtection="0"/>
    <xf numFmtId="173" fontId="4" fillId="0" borderId="2" applyNumberFormat="0" applyFill="0" applyAlignment="0" applyProtection="0"/>
    <xf numFmtId="173" fontId="74" fillId="0" borderId="53" applyNumberFormat="0" applyFill="0" applyAlignment="0" applyProtection="0"/>
    <xf numFmtId="0" fontId="74" fillId="0" borderId="53" applyNumberFormat="0" applyFill="0" applyAlignment="0" applyProtection="0"/>
    <xf numFmtId="0" fontId="4" fillId="0" borderId="2" applyNumberFormat="0" applyFill="0" applyAlignment="0" applyProtection="0"/>
    <xf numFmtId="173" fontId="5" fillId="0" borderId="3" applyNumberFormat="0" applyFill="0" applyAlignment="0" applyProtection="0"/>
    <xf numFmtId="173" fontId="75" fillId="0" borderId="54" applyNumberFormat="0" applyFill="0" applyAlignment="0" applyProtection="0"/>
    <xf numFmtId="173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5" fillId="0" borderId="3" applyNumberFormat="0" applyFill="0" applyAlignment="0" applyProtection="0"/>
    <xf numFmtId="173" fontId="5" fillId="0" borderId="0" applyNumberFormat="0" applyFill="0" applyBorder="0" applyAlignment="0" applyProtection="0"/>
    <xf numFmtId="173" fontId="75" fillId="0" borderId="0" applyNumberFormat="0" applyFill="0" applyBorder="0" applyAlignment="0" applyProtection="0"/>
    <xf numFmtId="173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9" fillId="5" borderId="4" applyNumberFormat="0" applyAlignment="0" applyProtection="0"/>
    <xf numFmtId="173" fontId="76" fillId="40" borderId="14" applyNumberFormat="0" applyAlignment="0" applyProtection="0"/>
    <xf numFmtId="173" fontId="76" fillId="40" borderId="14" applyNumberFormat="0" applyAlignment="0" applyProtection="0"/>
    <xf numFmtId="173" fontId="76" fillId="40" borderId="14" applyNumberFormat="0" applyAlignment="0" applyProtection="0"/>
    <xf numFmtId="173" fontId="76" fillId="40" borderId="14" applyNumberFormat="0" applyAlignment="0" applyProtection="0"/>
    <xf numFmtId="173" fontId="76" fillId="40" borderId="14" applyNumberFormat="0" applyAlignment="0" applyProtection="0"/>
    <xf numFmtId="173" fontId="76" fillId="40" borderId="14" applyNumberFormat="0" applyAlignment="0" applyProtection="0"/>
    <xf numFmtId="0" fontId="76" fillId="40" borderId="14" applyNumberFormat="0" applyAlignment="0" applyProtection="0"/>
    <xf numFmtId="0" fontId="76" fillId="40" borderId="14" applyNumberFormat="0" applyAlignment="0" applyProtection="0"/>
    <xf numFmtId="0" fontId="76" fillId="40" borderId="14" applyNumberFormat="0" applyAlignment="0" applyProtection="0"/>
    <xf numFmtId="0" fontId="76" fillId="40" borderId="14" applyNumberFormat="0" applyAlignment="0" applyProtection="0"/>
    <xf numFmtId="0" fontId="76" fillId="40" borderId="14" applyNumberFormat="0" applyAlignment="0" applyProtection="0"/>
    <xf numFmtId="0" fontId="9" fillId="5" borderId="4" applyNumberFormat="0" applyAlignment="0" applyProtection="0"/>
    <xf numFmtId="173" fontId="12" fillId="0" borderId="6" applyNumberFormat="0" applyFill="0" applyAlignment="0" applyProtection="0"/>
    <xf numFmtId="173" fontId="77" fillId="0" borderId="17" applyNumberFormat="0" applyFill="0" applyAlignment="0" applyProtection="0"/>
    <xf numFmtId="173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12" fillId="0" borderId="6" applyNumberFormat="0" applyFill="0" applyAlignment="0" applyProtection="0"/>
    <xf numFmtId="173" fontId="8" fillId="4" borderId="0" applyNumberFormat="0" applyBorder="0" applyAlignment="0" applyProtection="0"/>
    <xf numFmtId="173" fontId="78" fillId="55" borderId="0" applyNumberFormat="0" applyBorder="0" applyAlignment="0" applyProtection="0"/>
    <xf numFmtId="173" fontId="78" fillId="55" borderId="0" applyNumberFormat="0" applyBorder="0" applyAlignment="0" applyProtection="0"/>
    <xf numFmtId="0" fontId="78" fillId="55" borderId="0" applyNumberFormat="0" applyBorder="0" applyAlignment="0" applyProtection="0"/>
    <xf numFmtId="0" fontId="8" fillId="4" borderId="0" applyNumberFormat="0" applyBorder="0" applyAlignment="0" applyProtection="0"/>
    <xf numFmtId="0" fontId="79" fillId="0" borderId="0"/>
    <xf numFmtId="0" fontId="79" fillId="0" borderId="0"/>
    <xf numFmtId="0" fontId="1" fillId="0" borderId="0"/>
    <xf numFmtId="173" fontId="1" fillId="0" borderId="0"/>
    <xf numFmtId="173" fontId="1" fillId="0" borderId="0"/>
    <xf numFmtId="173" fontId="24" fillId="0" borderId="0"/>
    <xf numFmtId="173" fontId="1" fillId="0" borderId="0"/>
    <xf numFmtId="0" fontId="24" fillId="0" borderId="0"/>
    <xf numFmtId="173" fontId="24" fillId="0" borderId="0"/>
    <xf numFmtId="173" fontId="24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4" fontId="80" fillId="0" borderId="0"/>
    <xf numFmtId="0" fontId="42" fillId="0" borderId="0"/>
    <xf numFmtId="0" fontId="2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79" fillId="0" borderId="0"/>
    <xf numFmtId="174" fontId="8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42" fillId="0" borderId="0"/>
    <xf numFmtId="0" fontId="45" fillId="0" borderId="0"/>
    <xf numFmtId="173" fontId="1" fillId="0" borderId="0"/>
    <xf numFmtId="37" fontId="8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173" fontId="42" fillId="0" borderId="0"/>
    <xf numFmtId="173" fontId="1" fillId="0" borderId="0"/>
    <xf numFmtId="174" fontId="82" fillId="0" borderId="0"/>
    <xf numFmtId="0" fontId="25" fillId="0" borderId="0"/>
    <xf numFmtId="0" fontId="25" fillId="0" borderId="0"/>
    <xf numFmtId="173" fontId="42" fillId="0" borderId="0"/>
    <xf numFmtId="173" fontId="42" fillId="0" borderId="0"/>
    <xf numFmtId="173" fontId="1" fillId="0" borderId="0"/>
    <xf numFmtId="0" fontId="24" fillId="0" borderId="0"/>
    <xf numFmtId="0" fontId="42" fillId="0" borderId="0"/>
    <xf numFmtId="173" fontId="42" fillId="0" borderId="0"/>
    <xf numFmtId="173" fontId="42" fillId="0" borderId="0"/>
    <xf numFmtId="175" fontId="21" fillId="0" borderId="0">
      <alignment wrapText="1"/>
    </xf>
    <xf numFmtId="0" fontId="42" fillId="0" borderId="0"/>
    <xf numFmtId="173" fontId="42" fillId="0" borderId="0"/>
    <xf numFmtId="173" fontId="42" fillId="0" borderId="0"/>
    <xf numFmtId="173" fontId="1" fillId="8" borderId="8" applyNumberFormat="0" applyFont="0" applyAlignment="0" applyProtection="0"/>
    <xf numFmtId="173" fontId="18" fillId="8" borderId="8" applyNumberFormat="0" applyFont="0" applyAlignment="0" applyProtection="0"/>
    <xf numFmtId="173" fontId="18" fillId="8" borderId="8" applyNumberFormat="0" applyFont="0" applyAlignment="0" applyProtection="0"/>
    <xf numFmtId="0" fontId="18" fillId="8" borderId="8" applyNumberFormat="0" applyFont="0" applyAlignment="0" applyProtection="0"/>
    <xf numFmtId="173" fontId="18" fillId="56" borderId="18" applyNumberFormat="0" applyFont="0" applyAlignment="0" applyProtection="0"/>
    <xf numFmtId="173" fontId="18" fillId="56" borderId="18" applyNumberFormat="0" applyFont="0" applyAlignment="0" applyProtection="0"/>
    <xf numFmtId="173" fontId="18" fillId="56" borderId="18" applyNumberFormat="0" applyFont="0" applyAlignment="0" applyProtection="0"/>
    <xf numFmtId="173" fontId="18" fillId="56" borderId="18" applyNumberFormat="0" applyFont="0" applyAlignment="0" applyProtection="0"/>
    <xf numFmtId="173" fontId="18" fillId="56" borderId="18" applyNumberFormat="0" applyFont="0" applyAlignment="0" applyProtection="0"/>
    <xf numFmtId="173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173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73" fontId="10" fillId="6" borderId="5" applyNumberFormat="0" applyAlignment="0" applyProtection="0"/>
    <xf numFmtId="173" fontId="83" fillId="53" borderId="19" applyNumberFormat="0" applyAlignment="0" applyProtection="0"/>
    <xf numFmtId="173" fontId="83" fillId="53" borderId="19" applyNumberFormat="0" applyAlignment="0" applyProtection="0"/>
    <xf numFmtId="173" fontId="83" fillId="53" borderId="19" applyNumberFormat="0" applyAlignment="0" applyProtection="0"/>
    <xf numFmtId="173" fontId="83" fillId="53" borderId="19" applyNumberFormat="0" applyAlignment="0" applyProtection="0"/>
    <xf numFmtId="173" fontId="83" fillId="53" borderId="19" applyNumberFormat="0" applyAlignment="0" applyProtection="0"/>
    <xf numFmtId="173" fontId="83" fillId="53" borderId="19" applyNumberFormat="0" applyAlignment="0" applyProtection="0"/>
    <xf numFmtId="0" fontId="83" fillId="53" borderId="19" applyNumberFormat="0" applyAlignment="0" applyProtection="0"/>
    <xf numFmtId="0" fontId="83" fillId="53" borderId="19" applyNumberFormat="0" applyAlignment="0" applyProtection="0"/>
    <xf numFmtId="0" fontId="83" fillId="53" borderId="19" applyNumberForma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173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73" fontId="16" fillId="0" borderId="9" applyNumberFormat="0" applyFill="0" applyAlignment="0" applyProtection="0"/>
    <xf numFmtId="173" fontId="84" fillId="0" borderId="55" applyNumberFormat="0" applyFill="0" applyAlignment="0" applyProtection="0"/>
    <xf numFmtId="173" fontId="84" fillId="0" borderId="55" applyNumberFormat="0" applyFill="0" applyAlignment="0" applyProtection="0"/>
    <xf numFmtId="173" fontId="84" fillId="0" borderId="55" applyNumberFormat="0" applyFill="0" applyAlignment="0" applyProtection="0"/>
    <xf numFmtId="173" fontId="84" fillId="0" borderId="55" applyNumberFormat="0" applyFill="0" applyAlignment="0" applyProtection="0"/>
    <xf numFmtId="173" fontId="84" fillId="0" borderId="55" applyNumberFormat="0" applyFill="0" applyAlignment="0" applyProtection="0"/>
    <xf numFmtId="0" fontId="84" fillId="0" borderId="55" applyNumberFormat="0" applyFill="0" applyAlignment="0" applyProtection="0"/>
    <xf numFmtId="0" fontId="84" fillId="0" borderId="55" applyNumberFormat="0" applyFill="0" applyAlignment="0" applyProtection="0"/>
    <xf numFmtId="0" fontId="84" fillId="0" borderId="55" applyNumberFormat="0" applyFill="0" applyAlignment="0" applyProtection="0"/>
    <xf numFmtId="0" fontId="16" fillId="0" borderId="9" applyNumberFormat="0" applyFill="0" applyAlignment="0" applyProtection="0"/>
    <xf numFmtId="173" fontId="14" fillId="0" borderId="0" applyNumberFormat="0" applyFill="0" applyBorder="0" applyAlignment="0" applyProtection="0"/>
    <xf numFmtId="173" fontId="85" fillId="0" borderId="0" applyNumberFormat="0" applyFill="0" applyBorder="0" applyAlignment="0" applyProtection="0"/>
    <xf numFmtId="173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36" fillId="0" borderId="54" applyNumberFormat="0" applyFill="0" applyAlignment="0" applyProtection="0"/>
    <xf numFmtId="173" fontId="1" fillId="0" borderId="0"/>
  </cellStyleXfs>
  <cellXfs count="356">
    <xf numFmtId="0" fontId="0" fillId="0" borderId="0" xfId="0"/>
    <xf numFmtId="1" fontId="20" fillId="34" borderId="33" xfId="0" applyNumberFormat="1" applyFont="1" applyFill="1" applyBorder="1" applyAlignment="1">
      <alignment horizontal="left"/>
    </xf>
    <xf numFmtId="1" fontId="20" fillId="34" borderId="22" xfId="0" applyNumberFormat="1" applyFont="1" applyFill="1" applyBorder="1" applyAlignment="1">
      <alignment horizontal="left"/>
    </xf>
    <xf numFmtId="1" fontId="20" fillId="34" borderId="34" xfId="0" applyNumberFormat="1" applyFont="1" applyFill="1" applyBorder="1" applyAlignment="1">
      <alignment horizontal="left"/>
    </xf>
    <xf numFmtId="168" fontId="50" fillId="0" borderId="29" xfId="2" applyNumberFormat="1" applyFont="1" applyBorder="1" applyAlignment="1">
      <alignment horizontal="right"/>
    </xf>
    <xf numFmtId="166" fontId="0" fillId="0" borderId="0" xfId="0" applyNumberFormat="1"/>
    <xf numFmtId="166" fontId="49" fillId="0" borderId="27" xfId="0" applyNumberFormat="1" applyFont="1" applyBorder="1" applyAlignment="1">
      <alignment horizontal="right"/>
    </xf>
    <xf numFmtId="166" fontId="49" fillId="0" borderId="26" xfId="0" applyNumberFormat="1" applyFont="1" applyBorder="1" applyAlignment="1">
      <alignment horizontal="right"/>
    </xf>
    <xf numFmtId="0" fontId="48" fillId="0" borderId="11" xfId="0" applyFont="1" applyBorder="1"/>
    <xf numFmtId="1" fontId="19" fillId="34" borderId="35" xfId="0" applyNumberFormat="1" applyFont="1" applyFill="1" applyBorder="1" applyAlignment="1">
      <alignment horizontal="left"/>
    </xf>
    <xf numFmtId="166" fontId="16" fillId="0" borderId="30" xfId="0" applyNumberFormat="1" applyFont="1" applyBorder="1"/>
    <xf numFmtId="0" fontId="0" fillId="0" borderId="0" xfId="0"/>
    <xf numFmtId="0" fontId="21" fillId="0" borderId="0" xfId="0" applyNumberFormat="1" applyFont="1" applyAlignment="1"/>
    <xf numFmtId="10" fontId="21" fillId="0" borderId="0" xfId="0" applyNumberFormat="1" applyFont="1" applyAlignment="1"/>
    <xf numFmtId="3" fontId="21" fillId="0" borderId="0" xfId="0" applyNumberFormat="1" applyFont="1" applyAlignment="1"/>
    <xf numFmtId="164" fontId="21" fillId="0" borderId="0" xfId="0" applyNumberFormat="1" applyFont="1" applyAlignment="1"/>
    <xf numFmtId="10" fontId="46" fillId="0" borderId="0" xfId="0" applyNumberFormat="1" applyFont="1" applyAlignment="1"/>
    <xf numFmtId="3" fontId="21" fillId="0" borderId="31" xfId="0" applyNumberFormat="1" applyFont="1" applyBorder="1" applyAlignment="1"/>
    <xf numFmtId="10" fontId="46" fillId="0" borderId="31" xfId="0" applyNumberFormat="1" applyFont="1" applyBorder="1" applyAlignment="1"/>
    <xf numFmtId="0" fontId="47" fillId="0" borderId="0" xfId="0" applyFont="1" applyBorder="1"/>
    <xf numFmtId="1" fontId="46" fillId="34" borderId="0" xfId="0" applyNumberFormat="1" applyFont="1" applyFill="1" applyBorder="1" applyAlignment="1">
      <alignment horizontal="left"/>
    </xf>
    <xf numFmtId="166" fontId="47" fillId="0" borderId="0" xfId="0" applyNumberFormat="1" applyFont="1" applyBorder="1"/>
    <xf numFmtId="10" fontId="46" fillId="0" borderId="0" xfId="0" applyNumberFormat="1" applyFont="1" applyBorder="1" applyAlignment="1"/>
    <xf numFmtId="166" fontId="46" fillId="0" borderId="0" xfId="0" applyNumberFormat="1" applyFont="1" applyBorder="1" applyAlignment="1"/>
    <xf numFmtId="169" fontId="46" fillId="0" borderId="0" xfId="2" applyNumberFormat="1" applyFont="1" applyBorder="1" applyAlignment="1"/>
    <xf numFmtId="170" fontId="21" fillId="0" borderId="0" xfId="0" applyNumberFormat="1" applyFont="1" applyAlignment="1"/>
    <xf numFmtId="1" fontId="20" fillId="34" borderId="12" xfId="0" applyNumberFormat="1" applyFont="1" applyFill="1" applyBorder="1" applyAlignment="1">
      <alignment horizontal="left"/>
    </xf>
    <xf numFmtId="1" fontId="20" fillId="34" borderId="13" xfId="0" applyNumberFormat="1" applyFont="1" applyFill="1" applyBorder="1" applyAlignment="1">
      <alignment horizontal="left"/>
    </xf>
    <xf numFmtId="10" fontId="46" fillId="61" borderId="29" xfId="0" applyNumberFormat="1" applyFont="1" applyFill="1" applyBorder="1" applyAlignment="1">
      <alignment horizontal="center" vertical="center" wrapText="1"/>
    </xf>
    <xf numFmtId="0" fontId="46" fillId="61" borderId="29" xfId="0" applyNumberFormat="1" applyFont="1" applyFill="1" applyBorder="1" applyAlignment="1">
      <alignment horizontal="center" vertical="center" wrapText="1"/>
    </xf>
    <xf numFmtId="1" fontId="46" fillId="61" borderId="28" xfId="0" applyNumberFormat="1" applyFont="1" applyFill="1" applyBorder="1" applyAlignment="1">
      <alignment horizontal="center" vertical="center" wrapText="1"/>
    </xf>
    <xf numFmtId="0" fontId="16" fillId="0" borderId="0" xfId="0" applyFont="1"/>
    <xf numFmtId="166" fontId="53" fillId="64" borderId="10" xfId="2" applyNumberFormat="1" applyFont="1" applyFill="1" applyBorder="1" applyAlignment="1" applyProtection="1">
      <alignment horizontal="center" wrapText="1"/>
    </xf>
    <xf numFmtId="0" fontId="52" fillId="0" borderId="10" xfId="0" applyNumberFormat="1" applyFont="1" applyFill="1" applyBorder="1" applyAlignment="1" applyProtection="1">
      <alignment horizontal="left" wrapText="1"/>
    </xf>
    <xf numFmtId="0" fontId="16" fillId="0" borderId="36" xfId="0" applyFont="1" applyBorder="1" applyAlignment="1">
      <alignment wrapText="1"/>
    </xf>
    <xf numFmtId="0" fontId="16" fillId="0" borderId="36" xfId="0" applyFont="1" applyBorder="1"/>
    <xf numFmtId="0" fontId="54" fillId="0" borderId="0" xfId="0" applyFont="1" applyFill="1" applyBorder="1"/>
    <xf numFmtId="0" fontId="54" fillId="0" borderId="0" xfId="0" applyFont="1" applyFill="1" applyBorder="1" applyAlignment="1">
      <alignment horizontal="center"/>
    </xf>
    <xf numFmtId="2" fontId="55" fillId="65" borderId="10" xfId="0" applyNumberFormat="1" applyFont="1" applyFill="1" applyBorder="1" applyAlignment="1" applyProtection="1">
      <alignment horizontal="center" wrapText="1"/>
    </xf>
    <xf numFmtId="10" fontId="55" fillId="0" borderId="10" xfId="0" applyNumberFormat="1" applyFont="1" applyFill="1" applyBorder="1" applyAlignment="1">
      <alignment horizontal="center"/>
    </xf>
    <xf numFmtId="2" fontId="55" fillId="0" borderId="38" xfId="0" applyNumberFormat="1" applyFont="1" applyFill="1" applyBorder="1" applyAlignment="1">
      <alignment horizontal="center"/>
    </xf>
    <xf numFmtId="0" fontId="55" fillId="0" borderId="22" xfId="0" applyFont="1" applyFill="1" applyBorder="1" applyAlignment="1">
      <alignment wrapText="1"/>
    </xf>
    <xf numFmtId="10" fontId="54" fillId="0" borderId="10" xfId="0" applyNumberFormat="1" applyFont="1" applyFill="1" applyBorder="1" applyAlignment="1">
      <alignment horizontal="center"/>
    </xf>
    <xf numFmtId="2" fontId="54" fillId="0" borderId="38" xfId="0" applyNumberFormat="1" applyFont="1" applyFill="1" applyBorder="1" applyAlignment="1">
      <alignment horizontal="center"/>
    </xf>
    <xf numFmtId="0" fontId="54" fillId="0" borderId="22" xfId="0" applyFont="1" applyFill="1" applyBorder="1"/>
    <xf numFmtId="10" fontId="55" fillId="64" borderId="10" xfId="0" applyNumberFormat="1" applyFont="1" applyFill="1" applyBorder="1" applyAlignment="1">
      <alignment horizontal="center"/>
    </xf>
    <xf numFmtId="0" fontId="55" fillId="65" borderId="21" xfId="0" applyFont="1" applyFill="1" applyBorder="1" applyAlignment="1">
      <alignment horizontal="center" vertical="center" wrapText="1"/>
    </xf>
    <xf numFmtId="0" fontId="55" fillId="0" borderId="0" xfId="0" applyFont="1" applyFill="1" applyBorder="1"/>
    <xf numFmtId="166" fontId="19" fillId="34" borderId="32" xfId="0" applyNumberFormat="1" applyFont="1" applyFill="1" applyBorder="1" applyAlignment="1">
      <alignment horizontal="left"/>
    </xf>
    <xf numFmtId="10" fontId="46" fillId="61" borderId="32" xfId="0" applyNumberFormat="1" applyFont="1" applyFill="1" applyBorder="1" applyAlignment="1">
      <alignment horizontal="center" vertical="center" wrapText="1"/>
    </xf>
    <xf numFmtId="166" fontId="49" fillId="0" borderId="33" xfId="0" applyNumberFormat="1" applyFont="1" applyBorder="1" applyAlignment="1">
      <alignment horizontal="right"/>
    </xf>
    <xf numFmtId="10" fontId="46" fillId="61" borderId="10" xfId="0" applyNumberFormat="1" applyFont="1" applyFill="1" applyBorder="1" applyAlignment="1">
      <alignment horizontal="center" vertical="center" wrapText="1"/>
    </xf>
    <xf numFmtId="166" fontId="0" fillId="0" borderId="10" xfId="0" applyNumberFormat="1" applyBorder="1"/>
    <xf numFmtId="165" fontId="0" fillId="0" borderId="10" xfId="3" applyNumberFormat="1" applyFont="1" applyBorder="1"/>
    <xf numFmtId="165" fontId="0" fillId="0" borderId="21" xfId="3" applyNumberFormat="1" applyFont="1" applyBorder="1"/>
    <xf numFmtId="165" fontId="16" fillId="0" borderId="39" xfId="3" applyNumberFormat="1" applyFont="1" applyBorder="1"/>
    <xf numFmtId="0" fontId="20" fillId="34" borderId="27" xfId="0" applyNumberFormat="1" applyFont="1" applyFill="1" applyBorder="1" applyAlignment="1">
      <alignment horizontal="left"/>
    </xf>
    <xf numFmtId="0" fontId="16" fillId="0" borderId="40" xfId="0" applyFont="1" applyBorder="1"/>
    <xf numFmtId="0" fontId="16" fillId="0" borderId="37" xfId="0" applyFont="1" applyBorder="1"/>
    <xf numFmtId="0" fontId="16" fillId="0" borderId="37" xfId="0" applyFont="1" applyBorder="1" applyAlignment="1">
      <alignment horizontal="right"/>
    </xf>
    <xf numFmtId="0" fontId="16" fillId="0" borderId="41" xfId="0" applyFont="1" applyBorder="1"/>
    <xf numFmtId="0" fontId="0" fillId="0" borderId="42" xfId="0" applyBorder="1"/>
    <xf numFmtId="10" fontId="57" fillId="0" borderId="0" xfId="0" applyNumberFormat="1" applyFont="1" applyBorder="1"/>
    <xf numFmtId="10" fontId="58" fillId="0" borderId="43" xfId="0" applyNumberFormat="1" applyFont="1" applyBorder="1"/>
    <xf numFmtId="10" fontId="58" fillId="0" borderId="0" xfId="0" applyNumberFormat="1" applyFont="1" applyBorder="1"/>
    <xf numFmtId="0" fontId="16" fillId="67" borderId="42" xfId="0" applyFont="1" applyFill="1" applyBorder="1" applyAlignment="1">
      <alignment horizontal="right"/>
    </xf>
    <xf numFmtId="10" fontId="51" fillId="67" borderId="0" xfId="0" applyNumberFormat="1" applyFont="1" applyFill="1" applyBorder="1"/>
    <xf numFmtId="10" fontId="51" fillId="67" borderId="43" xfId="0" applyNumberFormat="1" applyFont="1" applyFill="1" applyBorder="1"/>
    <xf numFmtId="10" fontId="16" fillId="67" borderId="42" xfId="0" applyNumberFormat="1" applyFont="1" applyFill="1" applyBorder="1" applyAlignment="1">
      <alignment horizontal="right"/>
    </xf>
    <xf numFmtId="10" fontId="0" fillId="67" borderId="0" xfId="0" applyNumberFormat="1" applyFill="1" applyBorder="1"/>
    <xf numFmtId="10" fontId="16" fillId="67" borderId="33" xfId="0" applyNumberFormat="1" applyFont="1" applyFill="1" applyBorder="1" applyAlignment="1">
      <alignment horizontal="right"/>
    </xf>
    <xf numFmtId="10" fontId="0" fillId="67" borderId="36" xfId="0" applyNumberFormat="1" applyFill="1" applyBorder="1"/>
    <xf numFmtId="10" fontId="46" fillId="61" borderId="42" xfId="0" applyNumberFormat="1" applyFont="1" applyFill="1" applyBorder="1" applyAlignment="1">
      <alignment horizontal="center" vertical="center" wrapText="1"/>
    </xf>
    <xf numFmtId="10" fontId="0" fillId="0" borderId="0" xfId="3" applyNumberFormat="1" applyFont="1"/>
    <xf numFmtId="168" fontId="50" fillId="0" borderId="31" xfId="2" applyNumberFormat="1" applyFont="1" applyBorder="1" applyAlignment="1">
      <alignment horizontal="right"/>
    </xf>
    <xf numFmtId="10" fontId="49" fillId="0" borderId="36" xfId="3" applyNumberFormat="1" applyFont="1" applyBorder="1" applyAlignment="1">
      <alignment horizontal="right"/>
    </xf>
    <xf numFmtId="10" fontId="49" fillId="0" borderId="33" xfId="3" applyNumberFormat="1" applyFont="1" applyBorder="1" applyAlignment="1">
      <alignment horizontal="right"/>
    </xf>
    <xf numFmtId="0" fontId="21" fillId="0" borderId="23" xfId="0" applyNumberFormat="1" applyFont="1" applyBorder="1" applyAlignment="1">
      <alignment horizontal="centerContinuous" wrapText="1"/>
    </xf>
    <xf numFmtId="10" fontId="21" fillId="0" borderId="23" xfId="0" applyNumberFormat="1" applyFont="1" applyBorder="1" applyAlignment="1">
      <alignment horizontal="centerContinuous" wrapText="1"/>
    </xf>
    <xf numFmtId="1" fontId="46" fillId="0" borderId="28" xfId="0" applyNumberFormat="1" applyFont="1" applyBorder="1" applyAlignment="1">
      <alignment horizontal="center" wrapText="1"/>
    </xf>
    <xf numFmtId="0" fontId="46" fillId="0" borderId="29" xfId="0" applyNumberFormat="1" applyFont="1" applyBorder="1" applyAlignment="1">
      <alignment horizontal="center" wrapText="1"/>
    </xf>
    <xf numFmtId="10" fontId="46" fillId="0" borderId="29" xfId="0" applyNumberFormat="1" applyFont="1" applyBorder="1" applyAlignment="1">
      <alignment horizontal="center" wrapText="1"/>
    </xf>
    <xf numFmtId="0" fontId="22" fillId="0" borderId="0" xfId="0" applyNumberFormat="1" applyFont="1" applyAlignment="1"/>
    <xf numFmtId="10" fontId="21" fillId="0" borderId="0" xfId="3" applyNumberFormat="1" applyFont="1" applyBorder="1" applyAlignment="1"/>
    <xf numFmtId="10" fontId="21" fillId="0" borderId="0" xfId="3" applyNumberFormat="1" applyFont="1" applyAlignment="1"/>
    <xf numFmtId="172" fontId="57" fillId="0" borderId="0" xfId="0" applyNumberFormat="1" applyFont="1" applyBorder="1"/>
    <xf numFmtId="0" fontId="0" fillId="0" borderId="42" xfId="0" applyBorder="1" applyAlignment="1"/>
    <xf numFmtId="2" fontId="55" fillId="68" borderId="38" xfId="0" applyNumberFormat="1" applyFont="1" applyFill="1" applyBorder="1" applyAlignment="1">
      <alignment horizontal="center"/>
    </xf>
    <xf numFmtId="10" fontId="55" fillId="69" borderId="10" xfId="0" applyNumberFormat="1" applyFont="1" applyFill="1" applyBorder="1" applyAlignment="1">
      <alignment horizontal="center"/>
    </xf>
    <xf numFmtId="2" fontId="54" fillId="68" borderId="38" xfId="0" applyNumberFormat="1" applyFont="1" applyFill="1" applyBorder="1" applyAlignment="1">
      <alignment horizontal="center"/>
    </xf>
    <xf numFmtId="10" fontId="54" fillId="68" borderId="10" xfId="0" applyNumberFormat="1" applyFont="1" applyFill="1" applyBorder="1" applyAlignment="1">
      <alignment horizontal="center"/>
    </xf>
    <xf numFmtId="0" fontId="22" fillId="0" borderId="51" xfId="0" applyNumberFormat="1" applyFont="1" applyBorder="1" applyAlignment="1"/>
    <xf numFmtId="43" fontId="21" fillId="0" borderId="0" xfId="1" applyFont="1" applyAlignment="1"/>
    <xf numFmtId="10" fontId="46" fillId="0" borderId="10" xfId="0" applyNumberFormat="1" applyFont="1" applyFill="1" applyBorder="1" applyAlignment="1">
      <alignment horizontal="center" wrapText="1"/>
    </xf>
    <xf numFmtId="0" fontId="59" fillId="0" borderId="0" xfId="0" applyFont="1"/>
    <xf numFmtId="1" fontId="21" fillId="34" borderId="27" xfId="0" applyNumberFormat="1" applyFont="1" applyFill="1" applyBorder="1" applyAlignment="1">
      <alignment horizontal="left"/>
    </xf>
    <xf numFmtId="1" fontId="21" fillId="34" borderId="45" xfId="0" applyNumberFormat="1" applyFont="1" applyFill="1" applyBorder="1" applyAlignment="1">
      <alignment horizontal="left"/>
    </xf>
    <xf numFmtId="168" fontId="60" fillId="0" borderId="45" xfId="2" applyNumberFormat="1" applyFont="1" applyFill="1" applyBorder="1" applyAlignment="1">
      <alignment horizontal="center" vertical="center"/>
    </xf>
    <xf numFmtId="166" fontId="21" fillId="68" borderId="45" xfId="0" applyNumberFormat="1" applyFont="1" applyFill="1" applyBorder="1" applyAlignment="1"/>
    <xf numFmtId="10" fontId="61" fillId="68" borderId="10" xfId="0" applyNumberFormat="1" applyFont="1" applyFill="1" applyBorder="1" applyAlignment="1">
      <alignment horizontal="center"/>
    </xf>
    <xf numFmtId="166" fontId="59" fillId="0" borderId="10" xfId="0" applyNumberFormat="1" applyFont="1" applyBorder="1"/>
    <xf numFmtId="1" fontId="21" fillId="34" borderId="12" xfId="0" applyNumberFormat="1" applyFont="1" applyFill="1" applyBorder="1" applyAlignment="1">
      <alignment horizontal="left"/>
    </xf>
    <xf numFmtId="1" fontId="21" fillId="34" borderId="10" xfId="0" applyNumberFormat="1" applyFont="1" applyFill="1" applyBorder="1" applyAlignment="1">
      <alignment horizontal="left"/>
    </xf>
    <xf numFmtId="168" fontId="60" fillId="0" borderId="10" xfId="2" applyNumberFormat="1" applyFont="1" applyFill="1" applyBorder="1" applyAlignment="1">
      <alignment horizontal="center" vertical="center"/>
    </xf>
    <xf numFmtId="166" fontId="21" fillId="68" borderId="10" xfId="0" applyNumberFormat="1" applyFont="1" applyFill="1" applyBorder="1" applyAlignment="1"/>
    <xf numFmtId="166" fontId="21" fillId="0" borderId="10" xfId="0" applyNumberFormat="1" applyFont="1" applyBorder="1" applyAlignment="1"/>
    <xf numFmtId="10" fontId="61" fillId="0" borderId="10" xfId="0" applyNumberFormat="1" applyFont="1" applyFill="1" applyBorder="1" applyAlignment="1">
      <alignment horizontal="center"/>
    </xf>
    <xf numFmtId="168" fontId="60" fillId="34" borderId="10" xfId="2" applyNumberFormat="1" applyFont="1" applyFill="1" applyBorder="1" applyAlignment="1">
      <alignment horizontal="center" vertical="center"/>
    </xf>
    <xf numFmtId="166" fontId="21" fillId="34" borderId="10" xfId="0" applyNumberFormat="1" applyFont="1" applyFill="1" applyBorder="1" applyAlignment="1"/>
    <xf numFmtId="1" fontId="21" fillId="34" borderId="13" xfId="0" applyNumberFormat="1" applyFont="1" applyFill="1" applyBorder="1" applyAlignment="1">
      <alignment horizontal="left"/>
    </xf>
    <xf numFmtId="1" fontId="21" fillId="34" borderId="48" xfId="0" applyNumberFormat="1" applyFont="1" applyFill="1" applyBorder="1" applyAlignment="1">
      <alignment horizontal="left"/>
    </xf>
    <xf numFmtId="168" fontId="60" fillId="0" borderId="48" xfId="2" applyNumberFormat="1" applyFont="1" applyFill="1" applyBorder="1" applyAlignment="1">
      <alignment horizontal="center" vertical="center"/>
    </xf>
    <xf numFmtId="166" fontId="21" fillId="0" borderId="48" xfId="0" applyNumberFormat="1" applyFont="1" applyBorder="1" applyAlignment="1"/>
    <xf numFmtId="0" fontId="47" fillId="0" borderId="24" xfId="0" applyFont="1" applyBorder="1"/>
    <xf numFmtId="1" fontId="46" fillId="34" borderId="50" xfId="0" applyNumberFormat="1" applyFont="1" applyFill="1" applyBorder="1" applyAlignment="1">
      <alignment horizontal="left"/>
    </xf>
    <xf numFmtId="166" fontId="47" fillId="0" borderId="50" xfId="0" applyNumberFormat="1" applyFont="1" applyBorder="1"/>
    <xf numFmtId="166" fontId="46" fillId="0" borderId="25" xfId="0" applyNumberFormat="1" applyFont="1" applyBorder="1" applyAlignment="1"/>
    <xf numFmtId="169" fontId="46" fillId="0" borderId="25" xfId="2" applyNumberFormat="1" applyFont="1" applyBorder="1" applyAlignment="1"/>
    <xf numFmtId="43" fontId="21" fillId="0" borderId="25" xfId="1" applyFont="1" applyBorder="1" applyAlignment="1"/>
    <xf numFmtId="166" fontId="59" fillId="68" borderId="10" xfId="0" applyNumberFormat="1" applyFont="1" applyFill="1" applyBorder="1"/>
    <xf numFmtId="166" fontId="22" fillId="0" borderId="10" xfId="0" applyNumberFormat="1" applyFont="1" applyBorder="1" applyAlignment="1">
      <alignment horizontal="right"/>
    </xf>
    <xf numFmtId="10" fontId="62" fillId="33" borderId="10" xfId="670" applyNumberFormat="1" applyFont="1" applyFill="1" applyBorder="1" applyAlignment="1" applyProtection="1"/>
    <xf numFmtId="166" fontId="62" fillId="33" borderId="10" xfId="2" applyNumberFormat="1" applyFont="1" applyFill="1" applyBorder="1" applyAlignment="1" applyProtection="1"/>
    <xf numFmtId="166" fontId="22" fillId="0" borderId="10" xfId="0" applyNumberFormat="1" applyFont="1" applyFill="1" applyBorder="1" applyAlignment="1">
      <alignment horizontal="right"/>
    </xf>
    <xf numFmtId="166" fontId="62" fillId="0" borderId="10" xfId="2" applyNumberFormat="1" applyFont="1" applyFill="1" applyBorder="1" applyAlignment="1" applyProtection="1"/>
    <xf numFmtId="166" fontId="62" fillId="34" borderId="10" xfId="2" applyNumberFormat="1" applyFont="1" applyFill="1" applyBorder="1" applyAlignment="1" applyProtection="1"/>
    <xf numFmtId="166" fontId="63" fillId="58" borderId="10" xfId="0" applyNumberFormat="1" applyFont="1" applyFill="1" applyBorder="1" applyAlignment="1" applyProtection="1">
      <alignment horizontal="center"/>
    </xf>
    <xf numFmtId="0" fontId="84" fillId="0" borderId="0" xfId="45" applyFont="1"/>
    <xf numFmtId="0" fontId="18" fillId="0" borderId="0" xfId="45"/>
    <xf numFmtId="0" fontId="84" fillId="63" borderId="36" xfId="45" applyFont="1" applyFill="1" applyBorder="1" applyAlignment="1">
      <alignment horizontal="centerContinuous"/>
    </xf>
    <xf numFmtId="0" fontId="18" fillId="0" borderId="0" xfId="45" applyAlignment="1">
      <alignment wrapText="1"/>
    </xf>
    <xf numFmtId="10" fontId="18" fillId="0" borderId="0" xfId="45" applyNumberFormat="1"/>
    <xf numFmtId="10" fontId="18" fillId="68" borderId="0" xfId="45" applyNumberFormat="1" applyFill="1"/>
    <xf numFmtId="10" fontId="84" fillId="0" borderId="0" xfId="45" applyNumberFormat="1" applyFont="1"/>
    <xf numFmtId="9" fontId="84" fillId="0" borderId="0" xfId="45" applyNumberFormat="1" applyFont="1" applyFill="1" applyAlignment="1">
      <alignment horizontal="left"/>
    </xf>
    <xf numFmtId="9" fontId="84" fillId="0" borderId="0" xfId="45" applyNumberFormat="1" applyFont="1" applyAlignment="1">
      <alignment horizontal="left"/>
    </xf>
    <xf numFmtId="9" fontId="84" fillId="0" borderId="0" xfId="670" applyNumberFormat="1" applyFont="1" applyFill="1" applyAlignment="1">
      <alignment horizontal="left"/>
    </xf>
    <xf numFmtId="165" fontId="18" fillId="0" borderId="0" xfId="45" applyNumberFormat="1"/>
    <xf numFmtId="165" fontId="0" fillId="0" borderId="0" xfId="670" applyNumberFormat="1" applyFont="1"/>
    <xf numFmtId="172" fontId="84" fillId="0" borderId="0" xfId="45" applyNumberFormat="1" applyFont="1" applyFill="1" applyAlignment="1">
      <alignment horizontal="left"/>
    </xf>
    <xf numFmtId="172" fontId="18" fillId="0" borderId="0" xfId="3" applyNumberFormat="1" applyFont="1"/>
    <xf numFmtId="0" fontId="84" fillId="0" borderId="0" xfId="45" applyFont="1" applyAlignment="1">
      <alignment wrapText="1"/>
    </xf>
    <xf numFmtId="0" fontId="84" fillId="63" borderId="36" xfId="45" applyFont="1" applyFill="1" applyBorder="1" applyAlignment="1">
      <alignment wrapText="1"/>
    </xf>
    <xf numFmtId="165" fontId="18" fillId="0" borderId="0" xfId="45" applyNumberFormat="1" applyFont="1"/>
    <xf numFmtId="0" fontId="84" fillId="63" borderId="0" xfId="45" applyFont="1" applyFill="1" applyAlignment="1">
      <alignment horizontal="left" wrapText="1"/>
    </xf>
    <xf numFmtId="0" fontId="18" fillId="63" borderId="0" xfId="45" applyFill="1"/>
    <xf numFmtId="0" fontId="84" fillId="63" borderId="36" xfId="45" applyFont="1" applyFill="1" applyBorder="1"/>
    <xf numFmtId="0" fontId="18" fillId="63" borderId="36" xfId="45" applyFill="1" applyBorder="1"/>
    <xf numFmtId="10" fontId="18" fillId="0" borderId="0" xfId="45" applyNumberFormat="1" applyFill="1"/>
    <xf numFmtId="10" fontId="84" fillId="68" borderId="0" xfId="45" applyNumberFormat="1" applyFont="1" applyFill="1"/>
    <xf numFmtId="0" fontId="84" fillId="63" borderId="0" xfId="45" applyFont="1" applyFill="1" applyAlignment="1">
      <alignment wrapText="1"/>
    </xf>
    <xf numFmtId="172" fontId="84" fillId="0" borderId="0" xfId="45" applyNumberFormat="1" applyFont="1"/>
    <xf numFmtId="0" fontId="64" fillId="33" borderId="10" xfId="0" applyNumberFormat="1" applyFont="1" applyFill="1" applyBorder="1" applyAlignment="1" applyProtection="1"/>
    <xf numFmtId="0" fontId="64" fillId="33" borderId="0" xfId="0" applyNumberFormat="1" applyFont="1" applyFill="1" applyBorder="1" applyAlignment="1" applyProtection="1"/>
    <xf numFmtId="0" fontId="63" fillId="58" borderId="10" xfId="0" applyNumberFormat="1" applyFont="1" applyFill="1" applyBorder="1" applyAlignment="1" applyProtection="1">
      <alignment horizontal="center" vertical="center" wrapText="1"/>
    </xf>
    <xf numFmtId="10" fontId="63" fillId="58" borderId="10" xfId="0" applyNumberFormat="1" applyFont="1" applyFill="1" applyBorder="1" applyAlignment="1" applyProtection="1">
      <alignment horizontal="center" vertical="center" wrapText="1"/>
    </xf>
    <xf numFmtId="0" fontId="63" fillId="62" borderId="10" xfId="0" applyNumberFormat="1" applyFont="1" applyFill="1" applyBorder="1" applyAlignment="1" applyProtection="1">
      <alignment horizontal="center" vertical="center" wrapText="1"/>
    </xf>
    <xf numFmtId="0" fontId="63" fillId="70" borderId="10" xfId="0" applyNumberFormat="1" applyFont="1" applyFill="1" applyBorder="1" applyAlignment="1" applyProtection="1">
      <alignment horizontal="center" vertical="center" wrapText="1"/>
    </xf>
    <xf numFmtId="0" fontId="64" fillId="33" borderId="10" xfId="0" applyNumberFormat="1" applyFont="1" applyFill="1" applyBorder="1" applyAlignment="1" applyProtection="1">
      <alignment wrapText="1"/>
    </xf>
    <xf numFmtId="0" fontId="64" fillId="33" borderId="0" xfId="0" applyNumberFormat="1" applyFont="1" applyFill="1" applyBorder="1" applyAlignment="1" applyProtection="1">
      <alignment wrapText="1"/>
    </xf>
    <xf numFmtId="0" fontId="63" fillId="58" borderId="10" xfId="0" applyNumberFormat="1" applyFont="1" applyFill="1" applyBorder="1" applyAlignment="1" applyProtection="1">
      <alignment horizontal="right"/>
    </xf>
    <xf numFmtId="0" fontId="63" fillId="58" borderId="10" xfId="0" applyNumberFormat="1" applyFont="1" applyFill="1" applyBorder="1" applyAlignment="1" applyProtection="1">
      <alignment horizontal="left"/>
    </xf>
    <xf numFmtId="167" fontId="62" fillId="34" borderId="10" xfId="1" applyNumberFormat="1" applyFont="1" applyFill="1" applyBorder="1" applyAlignment="1" applyProtection="1">
      <alignment horizontal="right"/>
    </xf>
    <xf numFmtId="10" fontId="62" fillId="34" borderId="10" xfId="0" applyNumberFormat="1" applyFont="1" applyFill="1" applyBorder="1" applyAlignment="1" applyProtection="1">
      <alignment horizontal="right"/>
    </xf>
    <xf numFmtId="43" fontId="62" fillId="34" borderId="10" xfId="1" applyFont="1" applyFill="1" applyBorder="1" applyAlignment="1" applyProtection="1">
      <alignment horizontal="right"/>
    </xf>
    <xf numFmtId="2" fontId="62" fillId="34" borderId="10" xfId="0" applyNumberFormat="1" applyFont="1" applyFill="1" applyBorder="1" applyAlignment="1" applyProtection="1">
      <alignment horizontal="right"/>
    </xf>
    <xf numFmtId="10" fontId="87" fillId="33" borderId="10" xfId="670" applyNumberFormat="1" applyFont="1" applyFill="1" applyBorder="1" applyAlignment="1" applyProtection="1"/>
    <xf numFmtId="166" fontId="64" fillId="33" borderId="10" xfId="0" applyNumberFormat="1" applyFont="1" applyFill="1" applyBorder="1" applyAlignment="1" applyProtection="1"/>
    <xf numFmtId="172" fontId="62" fillId="33" borderId="10" xfId="3" applyNumberFormat="1" applyFont="1" applyFill="1" applyBorder="1" applyAlignment="1" applyProtection="1"/>
    <xf numFmtId="10" fontId="62" fillId="33" borderId="10" xfId="3" applyNumberFormat="1" applyFont="1" applyFill="1" applyBorder="1" applyAlignment="1" applyProtection="1"/>
    <xf numFmtId="172" fontId="64" fillId="33" borderId="10" xfId="3" applyNumberFormat="1" applyFont="1" applyFill="1" applyBorder="1" applyAlignment="1" applyProtection="1"/>
    <xf numFmtId="167" fontId="62" fillId="0" borderId="10" xfId="1" applyNumberFormat="1" applyFont="1" applyFill="1" applyBorder="1" applyAlignment="1" applyProtection="1">
      <alignment horizontal="right"/>
    </xf>
    <xf numFmtId="10" fontId="62" fillId="0" borderId="10" xfId="0" applyNumberFormat="1" applyFont="1" applyFill="1" applyBorder="1" applyAlignment="1" applyProtection="1">
      <alignment horizontal="right"/>
    </xf>
    <xf numFmtId="43" fontId="62" fillId="0" borderId="10" xfId="1" applyFont="1" applyFill="1" applyBorder="1" applyAlignment="1" applyProtection="1">
      <alignment horizontal="right"/>
    </xf>
    <xf numFmtId="2" fontId="62" fillId="0" borderId="10" xfId="0" applyNumberFormat="1" applyFont="1" applyFill="1" applyBorder="1" applyAlignment="1" applyProtection="1">
      <alignment horizontal="right"/>
    </xf>
    <xf numFmtId="10" fontId="87" fillId="0" borderId="10" xfId="670" applyNumberFormat="1" applyFont="1" applyFill="1" applyBorder="1" applyAlignment="1" applyProtection="1"/>
    <xf numFmtId="0" fontId="64" fillId="0" borderId="0" xfId="0" applyNumberFormat="1" applyFont="1" applyFill="1" applyBorder="1" applyAlignment="1" applyProtection="1"/>
    <xf numFmtId="10" fontId="62" fillId="71" borderId="10" xfId="0" applyNumberFormat="1" applyFont="1" applyFill="1" applyBorder="1" applyAlignment="1" applyProtection="1">
      <alignment horizontal="right"/>
    </xf>
    <xf numFmtId="10" fontId="62" fillId="60" borderId="10" xfId="3" applyNumberFormat="1" applyFont="1" applyFill="1" applyBorder="1" applyAlignment="1" applyProtection="1"/>
    <xf numFmtId="10" fontId="62" fillId="72" borderId="10" xfId="3" applyNumberFormat="1" applyFont="1" applyFill="1" applyBorder="1" applyAlignment="1" applyProtection="1"/>
    <xf numFmtId="10" fontId="87" fillId="34" borderId="10" xfId="670" applyNumberFormat="1" applyFont="1" applyFill="1" applyBorder="1" applyAlignment="1" applyProtection="1"/>
    <xf numFmtId="9" fontId="64" fillId="33" borderId="10" xfId="3" applyFont="1" applyFill="1" applyBorder="1" applyAlignment="1" applyProtection="1"/>
    <xf numFmtId="167" fontId="63" fillId="34" borderId="10" xfId="1" applyNumberFormat="1" applyFont="1" applyFill="1" applyBorder="1" applyAlignment="1" applyProtection="1">
      <alignment horizontal="right"/>
    </xf>
    <xf numFmtId="10" fontId="63" fillId="34" borderId="10" xfId="0" applyNumberFormat="1" applyFont="1" applyFill="1" applyBorder="1" applyAlignment="1" applyProtection="1">
      <alignment horizontal="right"/>
    </xf>
    <xf numFmtId="2" fontId="63" fillId="34" borderId="10" xfId="0" applyNumberFormat="1" applyFont="1" applyFill="1" applyBorder="1" applyAlignment="1" applyProtection="1">
      <alignment horizontal="right"/>
    </xf>
    <xf numFmtId="10" fontId="63" fillId="33" borderId="10" xfId="670" applyNumberFormat="1" applyFont="1" applyFill="1" applyBorder="1" applyAlignment="1" applyProtection="1"/>
    <xf numFmtId="168" fontId="64" fillId="33" borderId="10" xfId="0" applyNumberFormat="1" applyFont="1" applyFill="1" applyBorder="1" applyAlignment="1" applyProtection="1"/>
    <xf numFmtId="0" fontId="64" fillId="71" borderId="0" xfId="0" applyNumberFormat="1" applyFont="1" applyFill="1" applyBorder="1" applyAlignment="1" applyProtection="1"/>
    <xf numFmtId="0" fontId="64" fillId="73" borderId="0" xfId="0" applyNumberFormat="1" applyFont="1" applyFill="1" applyBorder="1" applyAlignment="1" applyProtection="1"/>
    <xf numFmtId="0" fontId="88" fillId="0" borderId="0" xfId="0" applyFont="1"/>
    <xf numFmtId="0" fontId="86" fillId="0" borderId="0" xfId="0" applyFont="1"/>
    <xf numFmtId="0" fontId="88" fillId="62" borderId="36" xfId="0" applyFont="1" applyFill="1" applyBorder="1" applyAlignment="1"/>
    <xf numFmtId="0" fontId="88" fillId="0" borderId="36" xfId="0" applyFont="1" applyBorder="1"/>
    <xf numFmtId="0" fontId="88" fillId="0" borderId="36" xfId="0" applyFont="1" applyBorder="1" applyAlignment="1">
      <alignment wrapText="1"/>
    </xf>
    <xf numFmtId="2" fontId="88" fillId="63" borderId="36" xfId="0" applyNumberFormat="1" applyFont="1" applyFill="1" applyBorder="1" applyAlignment="1">
      <alignment wrapText="1"/>
    </xf>
    <xf numFmtId="0" fontId="88" fillId="62" borderId="36" xfId="0" applyFont="1" applyFill="1" applyBorder="1" applyAlignment="1">
      <alignment wrapText="1"/>
    </xf>
    <xf numFmtId="0" fontId="62" fillId="0" borderId="10" xfId="0" applyNumberFormat="1" applyFont="1" applyFill="1" applyBorder="1" applyAlignment="1" applyProtection="1">
      <alignment horizontal="left" wrapText="1"/>
    </xf>
    <xf numFmtId="2" fontId="62" fillId="62" borderId="10" xfId="0" applyNumberFormat="1" applyFont="1" applyFill="1" applyBorder="1" applyAlignment="1" applyProtection="1">
      <alignment horizontal="center" wrapText="1"/>
    </xf>
    <xf numFmtId="2" fontId="63" fillId="62" borderId="10" xfId="0" applyNumberFormat="1" applyFont="1" applyFill="1" applyBorder="1" applyAlignment="1" applyProtection="1">
      <alignment horizontal="center" wrapText="1"/>
    </xf>
    <xf numFmtId="0" fontId="65" fillId="0" borderId="0" xfId="0" applyFont="1"/>
    <xf numFmtId="0" fontId="64" fillId="0" borderId="0" xfId="0" applyFont="1"/>
    <xf numFmtId="0" fontId="65" fillId="0" borderId="36" xfId="0" applyFont="1" applyBorder="1"/>
    <xf numFmtId="0" fontId="65" fillId="0" borderId="36" xfId="0" applyFont="1" applyBorder="1" applyAlignment="1">
      <alignment wrapText="1"/>
    </xf>
    <xf numFmtId="2" fontId="65" fillId="63" borderId="36" xfId="0" applyNumberFormat="1" applyFont="1" applyFill="1" applyBorder="1" applyAlignment="1">
      <alignment wrapText="1"/>
    </xf>
    <xf numFmtId="0" fontId="65" fillId="62" borderId="36" xfId="0" applyFont="1" applyFill="1" applyBorder="1" applyAlignment="1">
      <alignment wrapText="1"/>
    </xf>
    <xf numFmtId="10" fontId="65" fillId="63" borderId="36" xfId="0" applyNumberFormat="1" applyFont="1" applyFill="1" applyBorder="1" applyAlignment="1">
      <alignment wrapText="1"/>
    </xf>
    <xf numFmtId="0" fontId="65" fillId="63" borderId="36" xfId="0" applyFont="1" applyFill="1" applyBorder="1" applyAlignment="1">
      <alignment wrapText="1"/>
    </xf>
    <xf numFmtId="10" fontId="65" fillId="62" borderId="36" xfId="0" applyNumberFormat="1" applyFont="1" applyFill="1" applyBorder="1" applyAlignment="1">
      <alignment wrapText="1"/>
    </xf>
    <xf numFmtId="166" fontId="65" fillId="62" borderId="36" xfId="0" applyNumberFormat="1" applyFont="1" applyFill="1" applyBorder="1" applyAlignment="1">
      <alignment wrapText="1"/>
    </xf>
    <xf numFmtId="166" fontId="89" fillId="64" borderId="10" xfId="2" applyNumberFormat="1" applyFont="1" applyFill="1" applyBorder="1" applyAlignment="1" applyProtection="1">
      <alignment horizontal="center" wrapText="1"/>
    </xf>
    <xf numFmtId="0" fontId="62" fillId="33" borderId="10" xfId="0" applyNumberFormat="1" applyFont="1" applyFill="1" applyBorder="1" applyAlignment="1" applyProtection="1">
      <alignment horizontal="center" wrapText="1"/>
    </xf>
    <xf numFmtId="0" fontId="62" fillId="63" borderId="10" xfId="0" applyNumberFormat="1" applyFont="1" applyFill="1" applyBorder="1" applyAlignment="1" applyProtection="1">
      <alignment horizontal="center" wrapText="1"/>
    </xf>
    <xf numFmtId="10" fontId="64" fillId="63" borderId="10" xfId="3" applyNumberFormat="1" applyFont="1" applyFill="1" applyBorder="1" applyAlignment="1">
      <alignment horizontal="center"/>
    </xf>
    <xf numFmtId="168" fontId="64" fillId="63" borderId="10" xfId="2" applyNumberFormat="1" applyFont="1" applyFill="1" applyBorder="1" applyAlignment="1">
      <alignment horizontal="center"/>
    </xf>
    <xf numFmtId="10" fontId="64" fillId="62" borderId="10" xfId="3" applyNumberFormat="1" applyFont="1" applyFill="1" applyBorder="1" applyAlignment="1">
      <alignment horizontal="center"/>
    </xf>
    <xf numFmtId="168" fontId="64" fillId="62" borderId="10" xfId="2" applyNumberFormat="1" applyFont="1" applyFill="1" applyBorder="1" applyAlignment="1">
      <alignment horizontal="center"/>
    </xf>
    <xf numFmtId="9" fontId="64" fillId="0" borderId="0" xfId="3" applyFont="1"/>
    <xf numFmtId="10" fontId="64" fillId="60" borderId="10" xfId="3" applyNumberFormat="1" applyFont="1" applyFill="1" applyBorder="1" applyAlignment="1">
      <alignment horizontal="center"/>
    </xf>
    <xf numFmtId="168" fontId="64" fillId="60" borderId="10" xfId="2" applyNumberFormat="1" applyFont="1" applyFill="1" applyBorder="1" applyAlignment="1">
      <alignment horizontal="center"/>
    </xf>
    <xf numFmtId="0" fontId="63" fillId="63" borderId="10" xfId="0" applyNumberFormat="1" applyFont="1" applyFill="1" applyBorder="1" applyAlignment="1" applyProtection="1">
      <alignment horizontal="center" wrapText="1"/>
    </xf>
    <xf numFmtId="10" fontId="64" fillId="66" borderId="10" xfId="3" applyNumberFormat="1" applyFont="1" applyFill="1" applyBorder="1" applyAlignment="1">
      <alignment horizontal="center"/>
    </xf>
    <xf numFmtId="168" fontId="64" fillId="66" borderId="10" xfId="2" applyNumberFormat="1" applyFont="1" applyFill="1" applyBorder="1" applyAlignment="1">
      <alignment horizontal="center"/>
    </xf>
    <xf numFmtId="2" fontId="65" fillId="0" borderId="0" xfId="0" applyNumberFormat="1" applyFont="1"/>
    <xf numFmtId="166" fontId="65" fillId="0" borderId="0" xfId="2" applyNumberFormat="1" applyFont="1"/>
    <xf numFmtId="172" fontId="65" fillId="0" borderId="0" xfId="3" applyNumberFormat="1" applyFont="1"/>
    <xf numFmtId="168" fontId="64" fillId="0" borderId="0" xfId="0" applyNumberFormat="1" applyFont="1"/>
    <xf numFmtId="166" fontId="64" fillId="0" borderId="0" xfId="0" applyNumberFormat="1" applyFont="1"/>
    <xf numFmtId="2" fontId="28" fillId="0" borderId="0" xfId="2" applyNumberFormat="1" applyFont="1"/>
    <xf numFmtId="10" fontId="65" fillId="59" borderId="0" xfId="0" applyNumberFormat="1" applyFont="1" applyFill="1"/>
    <xf numFmtId="10" fontId="65" fillId="0" borderId="0" xfId="0" applyNumberFormat="1" applyFont="1"/>
    <xf numFmtId="166" fontId="65" fillId="0" borderId="0" xfId="0" applyNumberFormat="1" applyFont="1"/>
    <xf numFmtId="166" fontId="65" fillId="59" borderId="0" xfId="1" applyNumberFormat="1" applyFont="1" applyFill="1"/>
    <xf numFmtId="166" fontId="65" fillId="0" borderId="0" xfId="1" applyNumberFormat="1" applyFont="1"/>
    <xf numFmtId="171" fontId="22" fillId="0" borderId="0" xfId="0" applyNumberFormat="1" applyFont="1"/>
    <xf numFmtId="0" fontId="88" fillId="63" borderId="56" xfId="0" applyFont="1" applyFill="1" applyBorder="1" applyAlignment="1">
      <alignment wrapText="1"/>
    </xf>
    <xf numFmtId="0" fontId="88" fillId="62" borderId="56" xfId="0" applyFont="1" applyFill="1" applyBorder="1" applyAlignment="1">
      <alignment wrapText="1"/>
    </xf>
    <xf numFmtId="2" fontId="62" fillId="63" borderId="10" xfId="0" applyNumberFormat="1" applyFont="1" applyFill="1" applyBorder="1" applyAlignment="1" applyProtection="1">
      <alignment horizontal="center" wrapText="1"/>
    </xf>
    <xf numFmtId="0" fontId="62" fillId="0" borderId="0" xfId="0" applyNumberFormat="1" applyFont="1" applyFill="1" applyBorder="1" applyAlignment="1" applyProtection="1">
      <alignment horizontal="left" wrapText="1"/>
    </xf>
    <xf numFmtId="0" fontId="62" fillId="0" borderId="0" xfId="0" applyNumberFormat="1" applyFont="1" applyFill="1" applyBorder="1" applyAlignment="1" applyProtection="1">
      <alignment horizontal="center" wrapText="1"/>
    </xf>
    <xf numFmtId="10" fontId="64" fillId="0" borderId="0" xfId="3" applyNumberFormat="1" applyFont="1" applyFill="1" applyBorder="1" applyAlignment="1">
      <alignment horizontal="center"/>
    </xf>
    <xf numFmtId="168" fontId="64" fillId="0" borderId="0" xfId="2" applyNumberFormat="1" applyFont="1" applyFill="1" applyBorder="1" applyAlignment="1">
      <alignment horizontal="center"/>
    </xf>
    <xf numFmtId="2" fontId="62" fillId="0" borderId="0" xfId="0" applyNumberFormat="1" applyFont="1" applyFill="1" applyBorder="1" applyAlignment="1" applyProtection="1">
      <alignment horizontal="center" wrapText="1"/>
    </xf>
    <xf numFmtId="0" fontId="64" fillId="0" borderId="0" xfId="0" applyFont="1" applyFill="1"/>
    <xf numFmtId="9" fontId="64" fillId="0" borderId="0" xfId="3" applyFont="1" applyFill="1"/>
    <xf numFmtId="0" fontId="64" fillId="0" borderId="0" xfId="0" applyFont="1" applyAlignment="1">
      <alignment horizontal="right"/>
    </xf>
    <xf numFmtId="0" fontId="59" fillId="0" borderId="56" xfId="0" applyFont="1" applyBorder="1"/>
    <xf numFmtId="166" fontId="46" fillId="0" borderId="56" xfId="0" applyNumberFormat="1" applyFont="1" applyBorder="1" applyAlignment="1"/>
    <xf numFmtId="168" fontId="64" fillId="33" borderId="0" xfId="2" applyNumberFormat="1" applyFont="1" applyFill="1" applyBorder="1" applyAlignment="1" applyProtection="1"/>
    <xf numFmtId="0" fontId="52" fillId="0" borderId="57" xfId="0" applyNumberFormat="1" applyFont="1" applyFill="1" applyBorder="1" applyAlignment="1" applyProtection="1">
      <alignment horizontal="left" wrapText="1"/>
    </xf>
    <xf numFmtId="0" fontId="0" fillId="0" borderId="10" xfId="0" applyBorder="1"/>
    <xf numFmtId="0" fontId="0" fillId="0" borderId="40" xfId="0" applyBorder="1" applyAlignment="1"/>
    <xf numFmtId="168" fontId="0" fillId="0" borderId="37" xfId="2" applyNumberFormat="1" applyFont="1" applyBorder="1"/>
    <xf numFmtId="168" fontId="0" fillId="0" borderId="0" xfId="2" applyNumberFormat="1" applyFont="1" applyBorder="1"/>
    <xf numFmtId="0" fontId="0" fillId="0" borderId="43" xfId="0" applyBorder="1"/>
    <xf numFmtId="0" fontId="0" fillId="0" borderId="0" xfId="0" applyBorder="1"/>
    <xf numFmtId="0" fontId="0" fillId="0" borderId="42" xfId="0" applyFill="1" applyBorder="1"/>
    <xf numFmtId="168" fontId="0" fillId="0" borderId="43" xfId="0" applyNumberFormat="1" applyBorder="1"/>
    <xf numFmtId="172" fontId="0" fillId="0" borderId="0" xfId="3" applyNumberFormat="1" applyFont="1" applyBorder="1"/>
    <xf numFmtId="172" fontId="0" fillId="0" borderId="43" xfId="3" applyNumberFormat="1" applyFont="1" applyBorder="1"/>
    <xf numFmtId="168" fontId="0" fillId="0" borderId="36" xfId="2" applyNumberFormat="1" applyFont="1" applyBorder="1"/>
    <xf numFmtId="10" fontId="0" fillId="0" borderId="10" xfId="3" applyNumberFormat="1" applyFont="1" applyBorder="1"/>
    <xf numFmtId="10" fontId="0" fillId="0" borderId="10" xfId="0" applyNumberFormat="1" applyBorder="1"/>
    <xf numFmtId="0" fontId="0" fillId="0" borderId="10" xfId="0" applyFill="1" applyBorder="1"/>
    <xf numFmtId="10" fontId="16" fillId="67" borderId="42" xfId="0" applyNumberFormat="1" applyFont="1" applyFill="1" applyBorder="1" applyAlignment="1">
      <alignment horizontal="left"/>
    </xf>
    <xf numFmtId="0" fontId="16" fillId="63" borderId="10" xfId="0" applyFont="1" applyFill="1" applyBorder="1"/>
    <xf numFmtId="164" fontId="46" fillId="34" borderId="47" xfId="0" applyNumberFormat="1" applyFont="1" applyFill="1" applyBorder="1" applyAlignment="1" applyProtection="1">
      <alignment horizontal="center"/>
    </xf>
    <xf numFmtId="164" fontId="46" fillId="34" borderId="49" xfId="0" applyNumberFormat="1" applyFont="1" applyFill="1" applyBorder="1" applyAlignment="1" applyProtection="1">
      <alignment horizontal="center"/>
    </xf>
    <xf numFmtId="166" fontId="59" fillId="0" borderId="10" xfId="0" applyNumberFormat="1" applyFont="1" applyFill="1" applyBorder="1"/>
    <xf numFmtId="10" fontId="0" fillId="59" borderId="10" xfId="0" applyNumberFormat="1" applyFill="1" applyBorder="1"/>
    <xf numFmtId="167" fontId="64" fillId="33" borderId="0" xfId="0" applyNumberFormat="1" applyFont="1" applyFill="1" applyBorder="1" applyAlignment="1" applyProtection="1"/>
    <xf numFmtId="10" fontId="84" fillId="59" borderId="0" xfId="45" applyNumberFormat="1" applyFont="1" applyFill="1"/>
    <xf numFmtId="10" fontId="16" fillId="59" borderId="0" xfId="670" applyNumberFormat="1" applyFont="1" applyFill="1"/>
    <xf numFmtId="165" fontId="84" fillId="59" borderId="0" xfId="45" applyNumberFormat="1" applyFont="1" applyFill="1"/>
    <xf numFmtId="0" fontId="16" fillId="67" borderId="42" xfId="0" applyFont="1" applyFill="1" applyBorder="1" applyAlignment="1">
      <alignment horizontal="left"/>
    </xf>
    <xf numFmtId="10" fontId="16" fillId="67" borderId="33" xfId="0" applyNumberFormat="1" applyFont="1" applyFill="1" applyBorder="1" applyAlignment="1">
      <alignment horizontal="left"/>
    </xf>
    <xf numFmtId="164" fontId="46" fillId="34" borderId="46" xfId="0" applyNumberFormat="1" applyFont="1" applyFill="1" applyBorder="1" applyAlignment="1" applyProtection="1">
      <alignment horizontal="center"/>
    </xf>
    <xf numFmtId="0" fontId="0" fillId="0" borderId="0" xfId="0"/>
    <xf numFmtId="0" fontId="16" fillId="0" borderId="40" xfId="0" applyFont="1" applyBorder="1"/>
    <xf numFmtId="0" fontId="16" fillId="0" borderId="37" xfId="0" applyFont="1" applyBorder="1"/>
    <xf numFmtId="0" fontId="0" fillId="0" borderId="42" xfId="0" applyBorder="1"/>
    <xf numFmtId="0" fontId="0" fillId="0" borderId="0" xfId="0" applyBorder="1"/>
    <xf numFmtId="0" fontId="0" fillId="0" borderId="44" xfId="0" applyBorder="1"/>
    <xf numFmtId="10" fontId="0" fillId="0" borderId="0" xfId="0" applyNumberFormat="1" applyBorder="1"/>
    <xf numFmtId="0" fontId="16" fillId="0" borderId="41" xfId="0" applyFont="1" applyBorder="1"/>
    <xf numFmtId="0" fontId="16" fillId="0" borderId="37" xfId="0" applyFont="1" applyBorder="1" applyAlignment="1">
      <alignment horizontal="right"/>
    </xf>
    <xf numFmtId="9" fontId="57" fillId="0" borderId="0" xfId="0" applyNumberFormat="1" applyFont="1" applyBorder="1"/>
    <xf numFmtId="0" fontId="57" fillId="0" borderId="0" xfId="0" applyFont="1" applyBorder="1"/>
    <xf numFmtId="0" fontId="57" fillId="0" borderId="43" xfId="0" applyFont="1" applyBorder="1"/>
    <xf numFmtId="10" fontId="57" fillId="0" borderId="0" xfId="0" applyNumberFormat="1" applyFont="1" applyBorder="1"/>
    <xf numFmtId="0" fontId="16" fillId="0" borderId="33" xfId="0" applyFont="1" applyBorder="1"/>
    <xf numFmtId="10" fontId="0" fillId="0" borderId="36" xfId="0" applyNumberFormat="1" applyBorder="1"/>
    <xf numFmtId="0" fontId="0" fillId="0" borderId="40" xfId="0" applyFill="1" applyBorder="1"/>
    <xf numFmtId="0" fontId="0" fillId="0" borderId="37" xfId="0" applyBorder="1"/>
    <xf numFmtId="168" fontId="0" fillId="0" borderId="0" xfId="0" applyNumberFormat="1"/>
    <xf numFmtId="10" fontId="21" fillId="68" borderId="45" xfId="0" applyNumberFormat="1" applyFont="1" applyFill="1" applyBorder="1" applyAlignment="1">
      <alignment horizontal="right"/>
    </xf>
    <xf numFmtId="10" fontId="21" fillId="68" borderId="10" xfId="0" applyNumberFormat="1" applyFont="1" applyFill="1" applyBorder="1" applyAlignment="1">
      <alignment horizontal="right"/>
    </xf>
    <xf numFmtId="10" fontId="21" fillId="0" borderId="10" xfId="0" applyNumberFormat="1" applyFont="1" applyBorder="1" applyAlignment="1">
      <alignment horizontal="right"/>
    </xf>
    <xf numFmtId="10" fontId="21" fillId="0" borderId="48" xfId="0" applyNumberFormat="1" applyFont="1" applyBorder="1" applyAlignment="1">
      <alignment horizontal="right"/>
    </xf>
    <xf numFmtId="10" fontId="46" fillId="0" borderId="25" xfId="0" applyNumberFormat="1" applyFont="1" applyBorder="1" applyAlignment="1"/>
    <xf numFmtId="10" fontId="22" fillId="0" borderId="0" xfId="0" applyNumberFormat="1" applyFont="1" applyAlignment="1"/>
    <xf numFmtId="172" fontId="0" fillId="0" borderId="43" xfId="3" applyNumberFormat="1" applyFont="1" applyFill="1" applyBorder="1"/>
    <xf numFmtId="0" fontId="16" fillId="63" borderId="22" xfId="0" applyFont="1" applyFill="1" applyBorder="1"/>
    <xf numFmtId="0" fontId="16" fillId="63" borderId="38" xfId="0" applyFont="1" applyFill="1" applyBorder="1"/>
    <xf numFmtId="0" fontId="0" fillId="0" borderId="42" xfId="0" applyFill="1" applyBorder="1" applyAlignment="1">
      <alignment horizontal="right"/>
    </xf>
    <xf numFmtId="172" fontId="0" fillId="0" borderId="0" xfId="3" applyNumberFormat="1" applyFont="1"/>
    <xf numFmtId="0" fontId="0" fillId="0" borderId="0" xfId="0" applyAlignment="1">
      <alignment wrapText="1"/>
    </xf>
    <xf numFmtId="0" fontId="16" fillId="61" borderId="0" xfId="0" applyFont="1" applyFill="1" applyAlignment="1">
      <alignment wrapText="1"/>
    </xf>
    <xf numFmtId="0" fontId="16" fillId="61" borderId="0" xfId="0" applyFont="1" applyFill="1" applyAlignment="1">
      <alignment horizontal="centerContinuous" wrapText="1"/>
    </xf>
    <xf numFmtId="0" fontId="88" fillId="61" borderId="0" xfId="0" applyFont="1" applyFill="1" applyBorder="1"/>
    <xf numFmtId="0" fontId="88" fillId="61" borderId="0" xfId="0" applyFont="1" applyFill="1" applyBorder="1" applyAlignment="1">
      <alignment wrapText="1"/>
    </xf>
    <xf numFmtId="172" fontId="0" fillId="0" borderId="10" xfId="3" applyNumberFormat="1" applyFont="1" applyBorder="1"/>
    <xf numFmtId="168" fontId="0" fillId="0" borderId="10" xfId="2" applyNumberFormat="1" applyFont="1" applyBorder="1"/>
    <xf numFmtId="172" fontId="0" fillId="0" borderId="10" xfId="0" applyNumberFormat="1" applyBorder="1"/>
    <xf numFmtId="0" fontId="0" fillId="0" borderId="33" xfId="0" applyFill="1" applyBorder="1"/>
    <xf numFmtId="168" fontId="0" fillId="0" borderId="44" xfId="0" applyNumberFormat="1" applyBorder="1"/>
    <xf numFmtId="172" fontId="0" fillId="59" borderId="10" xfId="0" applyNumberFormat="1" applyFill="1" applyBorder="1"/>
    <xf numFmtId="172" fontId="58" fillId="0" borderId="43" xfId="0" applyNumberFormat="1" applyFont="1" applyBorder="1"/>
    <xf numFmtId="0" fontId="16" fillId="0" borderId="40" xfId="0" applyFont="1" applyFill="1" applyBorder="1"/>
    <xf numFmtId="0" fontId="0" fillId="0" borderId="41" xfId="0" applyBorder="1"/>
    <xf numFmtId="172" fontId="0" fillId="0" borderId="0" xfId="3" applyNumberFormat="1" applyFont="1" applyFill="1" applyBorder="1"/>
    <xf numFmtId="0" fontId="0" fillId="0" borderId="33" xfId="0" applyFill="1" applyBorder="1" applyAlignment="1">
      <alignment horizontal="right"/>
    </xf>
    <xf numFmtId="0" fontId="84" fillId="63" borderId="0" xfId="45" applyFont="1" applyFill="1" applyAlignment="1">
      <alignment wrapText="1"/>
    </xf>
    <xf numFmtId="172" fontId="0" fillId="60" borderId="0" xfId="3" applyNumberFormat="1" applyFont="1" applyFill="1" applyBorder="1"/>
    <xf numFmtId="172" fontId="0" fillId="60" borderId="43" xfId="3" applyNumberFormat="1" applyFont="1" applyFill="1" applyBorder="1"/>
    <xf numFmtId="172" fontId="0" fillId="60" borderId="36" xfId="3" applyNumberFormat="1" applyFont="1" applyFill="1" applyBorder="1"/>
    <xf numFmtId="172" fontId="0" fillId="60" borderId="44" xfId="3" applyNumberFormat="1" applyFont="1" applyFill="1" applyBorder="1"/>
    <xf numFmtId="0" fontId="0" fillId="63" borderId="10" xfId="0" applyFill="1" applyBorder="1"/>
    <xf numFmtId="0" fontId="16" fillId="63" borderId="10" xfId="0" applyFont="1" applyFill="1" applyBorder="1" applyAlignment="1">
      <alignment wrapText="1"/>
    </xf>
    <xf numFmtId="172" fontId="16" fillId="0" borderId="0" xfId="3" applyNumberFormat="1" applyFont="1" applyBorder="1"/>
    <xf numFmtId="0" fontId="84" fillId="63" borderId="0" xfId="45" applyFont="1" applyFill="1"/>
    <xf numFmtId="0" fontId="0" fillId="0" borderId="0" xfId="0" applyAlignment="1"/>
    <xf numFmtId="0" fontId="88" fillId="61" borderId="0" xfId="0" applyFont="1" applyFill="1" applyBorder="1" applyAlignment="1"/>
    <xf numFmtId="0" fontId="62" fillId="0" borderId="10" xfId="0" applyNumberFormat="1" applyFont="1" applyFill="1" applyBorder="1" applyAlignment="1" applyProtection="1">
      <alignment horizontal="left"/>
    </xf>
    <xf numFmtId="0" fontId="62" fillId="0" borderId="0" xfId="0" applyNumberFormat="1" applyFont="1" applyFill="1" applyBorder="1" applyAlignment="1" applyProtection="1">
      <alignment horizontal="left"/>
    </xf>
    <xf numFmtId="0" fontId="0" fillId="0" borderId="10" xfId="3" applyNumberFormat="1" applyFont="1" applyBorder="1"/>
    <xf numFmtId="0" fontId="28" fillId="33" borderId="22" xfId="0" applyNumberFormat="1" applyFont="1" applyFill="1" applyBorder="1" applyAlignment="1" applyProtection="1">
      <alignment horizontal="left"/>
    </xf>
    <xf numFmtId="0" fontId="28" fillId="33" borderId="56" xfId="0" applyNumberFormat="1" applyFont="1" applyFill="1" applyBorder="1" applyAlignment="1" applyProtection="1">
      <alignment horizontal="left"/>
    </xf>
    <xf numFmtId="0" fontId="64" fillId="33" borderId="56" xfId="0" applyNumberFormat="1" applyFont="1" applyFill="1" applyBorder="1" applyAlignment="1" applyProtection="1"/>
    <xf numFmtId="0" fontId="64" fillId="33" borderId="38" xfId="0" applyNumberFormat="1" applyFont="1" applyFill="1" applyBorder="1" applyAlignment="1" applyProtection="1"/>
    <xf numFmtId="0" fontId="46" fillId="0" borderId="0" xfId="0" applyNumberFormat="1" applyFont="1" applyAlignment="1">
      <alignment horizontal="left"/>
    </xf>
    <xf numFmtId="9" fontId="1" fillId="0" borderId="0" xfId="3" applyFont="1" applyBorder="1"/>
    <xf numFmtId="10" fontId="0" fillId="67" borderId="43" xfId="0" applyNumberFormat="1" applyFill="1" applyBorder="1"/>
    <xf numFmtId="10" fontId="0" fillId="67" borderId="44" xfId="0" applyNumberFormat="1" applyFill="1" applyBorder="1"/>
    <xf numFmtId="0" fontId="84" fillId="63" borderId="0" xfId="45" applyFont="1" applyFill="1" applyAlignment="1">
      <alignment wrapText="1"/>
    </xf>
    <xf numFmtId="0" fontId="64" fillId="33" borderId="22" xfId="0" applyNumberFormat="1" applyFont="1" applyFill="1" applyBorder="1" applyAlignment="1" applyProtection="1">
      <alignment horizontal="center"/>
    </xf>
    <xf numFmtId="0" fontId="64" fillId="33" borderId="38" xfId="0" applyNumberFormat="1" applyFont="1" applyFill="1" applyBorder="1" applyAlignment="1" applyProtection="1">
      <alignment horizontal="center"/>
    </xf>
    <xf numFmtId="0" fontId="64" fillId="33" borderId="10" xfId="0" applyNumberFormat="1" applyFont="1" applyFill="1" applyBorder="1" applyAlignment="1" applyProtection="1">
      <alignment horizontal="center"/>
    </xf>
    <xf numFmtId="0" fontId="63" fillId="58" borderId="10" xfId="0" applyNumberFormat="1" applyFont="1" applyFill="1" applyBorder="1" applyAlignment="1" applyProtection="1">
      <alignment horizontal="center"/>
    </xf>
    <xf numFmtId="0" fontId="56" fillId="0" borderId="36" xfId="0" applyFont="1" applyFill="1" applyBorder="1" applyAlignment="1">
      <alignment horizontal="left"/>
    </xf>
    <xf numFmtId="2" fontId="55" fillId="65" borderId="22" xfId="3" applyNumberFormat="1" applyFont="1" applyFill="1" applyBorder="1" applyAlignment="1">
      <alignment horizontal="center" vertical="center" wrapText="1"/>
    </xf>
    <xf numFmtId="2" fontId="55" fillId="65" borderId="38" xfId="3" applyNumberFormat="1" applyFont="1" applyFill="1" applyBorder="1" applyAlignment="1">
      <alignment horizontal="center" vertical="center" wrapText="1"/>
    </xf>
    <xf numFmtId="0" fontId="55" fillId="65" borderId="22" xfId="0" applyFont="1" applyFill="1" applyBorder="1" applyAlignment="1">
      <alignment horizontal="center"/>
    </xf>
    <xf numFmtId="0" fontId="55" fillId="65" borderId="38" xfId="0" applyFont="1" applyFill="1" applyBorder="1" applyAlignment="1">
      <alignment horizontal="center"/>
    </xf>
    <xf numFmtId="0" fontId="54" fillId="0" borderId="37" xfId="0" applyFont="1" applyFill="1" applyBorder="1" applyAlignment="1">
      <alignment horizontal="left" wrapText="1"/>
    </xf>
    <xf numFmtId="0" fontId="54" fillId="0" borderId="0" xfId="0" applyFont="1" applyFill="1" applyBorder="1" applyAlignment="1">
      <alignment horizontal="left" wrapText="1"/>
    </xf>
    <xf numFmtId="0" fontId="88" fillId="63" borderId="36" xfId="0" applyFont="1" applyFill="1" applyBorder="1" applyAlignment="1">
      <alignment horizontal="center" wrapText="1"/>
    </xf>
  </cellXfs>
  <cellStyles count="1564">
    <cellStyle name="20% - Accent1" xfId="22" builtinId="30" customBuiltin="1"/>
    <cellStyle name="20% - Accent1 10" xfId="1064"/>
    <cellStyle name="20% - Accent1 10 2" xfId="1065"/>
    <cellStyle name="20% - Accent1 10 2 2" xfId="1066"/>
    <cellStyle name="20% - Accent1 10 3" xfId="1067"/>
    <cellStyle name="20% - Accent1 11" xfId="1068"/>
    <cellStyle name="20% - Accent1 11 2" xfId="1069"/>
    <cellStyle name="20% - Accent1 12" xfId="1070"/>
    <cellStyle name="20% - Accent1 13" xfId="1071"/>
    <cellStyle name="20% - Accent1 14" xfId="1072"/>
    <cellStyle name="20% - Accent1 15" xfId="1073"/>
    <cellStyle name="20% - Accent1 16" xfId="1074"/>
    <cellStyle name="20% - Accent1 17" xfId="1075"/>
    <cellStyle name="20% - Accent1 2" xfId="46"/>
    <cellStyle name="20% - Accent1 2 2" xfId="47"/>
    <cellStyle name="20% - Accent1 2 2 2" xfId="714"/>
    <cellStyle name="20% - Accent1 2 2 2 2" xfId="1076"/>
    <cellStyle name="20% - Accent1 2 2 3" xfId="1077"/>
    <cellStyle name="20% - Accent1 2 3" xfId="715"/>
    <cellStyle name="20% - Accent1 2 3 2" xfId="1078"/>
    <cellStyle name="20% - Accent1 2 4" xfId="1079"/>
    <cellStyle name="20% - Accent1 3" xfId="48"/>
    <cellStyle name="20% - Accent1 3 2" xfId="716"/>
    <cellStyle name="20% - Accent1 3 2 2" xfId="717"/>
    <cellStyle name="20% - Accent1 3 3" xfId="718"/>
    <cellStyle name="20% - Accent1 4" xfId="719"/>
    <cellStyle name="20% - Accent1 4 2" xfId="720"/>
    <cellStyle name="20% - Accent1 4 2 2" xfId="1080"/>
    <cellStyle name="20% - Accent1 4 3" xfId="1081"/>
    <cellStyle name="20% - Accent1 5" xfId="721"/>
    <cellStyle name="20% - Accent1 5 2" xfId="1082"/>
    <cellStyle name="20% - Accent1 5 2 2" xfId="1083"/>
    <cellStyle name="20% - Accent1 5 3" xfId="1084"/>
    <cellStyle name="20% - Accent1 6" xfId="1085"/>
    <cellStyle name="20% - Accent1 6 2" xfId="1086"/>
    <cellStyle name="20% - Accent1 6 2 2" xfId="1087"/>
    <cellStyle name="20% - Accent1 6 3" xfId="1088"/>
    <cellStyle name="20% - Accent1 7" xfId="1089"/>
    <cellStyle name="20% - Accent1 7 2" xfId="1090"/>
    <cellStyle name="20% - Accent1 7 2 2" xfId="1091"/>
    <cellStyle name="20% - Accent1 7 3" xfId="1092"/>
    <cellStyle name="20% - Accent1 8" xfId="1093"/>
    <cellStyle name="20% - Accent1 8 2" xfId="1094"/>
    <cellStyle name="20% - Accent1 8 2 2" xfId="1095"/>
    <cellStyle name="20% - Accent1 8 3" xfId="1096"/>
    <cellStyle name="20% - Accent1 9" xfId="1097"/>
    <cellStyle name="20% - Accent1 9 2" xfId="1098"/>
    <cellStyle name="20% - Accent1 9 2 2" xfId="1099"/>
    <cellStyle name="20% - Accent1 9 3" xfId="1100"/>
    <cellStyle name="20% - Accent2" xfId="26" builtinId="34" customBuiltin="1"/>
    <cellStyle name="20% - Accent2 10" xfId="1101"/>
    <cellStyle name="20% - Accent2 10 2" xfId="1102"/>
    <cellStyle name="20% - Accent2 10 2 2" xfId="1103"/>
    <cellStyle name="20% - Accent2 10 3" xfId="1104"/>
    <cellStyle name="20% - Accent2 11" xfId="1105"/>
    <cellStyle name="20% - Accent2 11 2" xfId="1106"/>
    <cellStyle name="20% - Accent2 12" xfId="1107"/>
    <cellStyle name="20% - Accent2 13" xfId="1108"/>
    <cellStyle name="20% - Accent2 14" xfId="1109"/>
    <cellStyle name="20% - Accent2 15" xfId="1110"/>
    <cellStyle name="20% - Accent2 16" xfId="1111"/>
    <cellStyle name="20% - Accent2 17" xfId="1112"/>
    <cellStyle name="20% - Accent2 2" xfId="49"/>
    <cellStyle name="20% - Accent2 2 2" xfId="50"/>
    <cellStyle name="20% - Accent2 2 2 2" xfId="722"/>
    <cellStyle name="20% - Accent2 2 2 2 2" xfId="1113"/>
    <cellStyle name="20% - Accent2 2 2 3" xfId="1114"/>
    <cellStyle name="20% - Accent2 2 3" xfId="723"/>
    <cellStyle name="20% - Accent2 2 3 2" xfId="1115"/>
    <cellStyle name="20% - Accent2 2 4" xfId="1116"/>
    <cellStyle name="20% - Accent2 3" xfId="51"/>
    <cellStyle name="20% - Accent2 3 2" xfId="724"/>
    <cellStyle name="20% - Accent2 3 2 2" xfId="725"/>
    <cellStyle name="20% - Accent2 3 3" xfId="726"/>
    <cellStyle name="20% - Accent2 4" xfId="727"/>
    <cellStyle name="20% - Accent2 4 2" xfId="728"/>
    <cellStyle name="20% - Accent2 4 2 2" xfId="1117"/>
    <cellStyle name="20% - Accent2 4 3" xfId="1118"/>
    <cellStyle name="20% - Accent2 5" xfId="729"/>
    <cellStyle name="20% - Accent2 5 2" xfId="1119"/>
    <cellStyle name="20% - Accent2 5 2 2" xfId="1120"/>
    <cellStyle name="20% - Accent2 5 3" xfId="1121"/>
    <cellStyle name="20% - Accent2 6" xfId="1122"/>
    <cellStyle name="20% - Accent2 6 2" xfId="1123"/>
    <cellStyle name="20% - Accent2 6 2 2" xfId="1124"/>
    <cellStyle name="20% - Accent2 6 3" xfId="1125"/>
    <cellStyle name="20% - Accent2 7" xfId="1126"/>
    <cellStyle name="20% - Accent2 7 2" xfId="1127"/>
    <cellStyle name="20% - Accent2 7 2 2" xfId="1128"/>
    <cellStyle name="20% - Accent2 7 3" xfId="1129"/>
    <cellStyle name="20% - Accent2 8" xfId="1130"/>
    <cellStyle name="20% - Accent2 8 2" xfId="1131"/>
    <cellStyle name="20% - Accent2 8 2 2" xfId="1132"/>
    <cellStyle name="20% - Accent2 8 3" xfId="1133"/>
    <cellStyle name="20% - Accent2 9" xfId="1134"/>
    <cellStyle name="20% - Accent2 9 2" xfId="1135"/>
    <cellStyle name="20% - Accent2 9 2 2" xfId="1136"/>
    <cellStyle name="20% - Accent2 9 3" xfId="1137"/>
    <cellStyle name="20% - Accent3" xfId="30" builtinId="38" customBuiltin="1"/>
    <cellStyle name="20% - Accent3 10" xfId="1138"/>
    <cellStyle name="20% - Accent3 10 2" xfId="1139"/>
    <cellStyle name="20% - Accent3 10 2 2" xfId="1140"/>
    <cellStyle name="20% - Accent3 10 3" xfId="1141"/>
    <cellStyle name="20% - Accent3 11" xfId="1142"/>
    <cellStyle name="20% - Accent3 11 2" xfId="1143"/>
    <cellStyle name="20% - Accent3 12" xfId="1144"/>
    <cellStyle name="20% - Accent3 13" xfId="1145"/>
    <cellStyle name="20% - Accent3 14" xfId="1146"/>
    <cellStyle name="20% - Accent3 15" xfId="1147"/>
    <cellStyle name="20% - Accent3 16" xfId="1148"/>
    <cellStyle name="20% - Accent3 17" xfId="1149"/>
    <cellStyle name="20% - Accent3 2" xfId="52"/>
    <cellStyle name="20% - Accent3 2 2" xfId="53"/>
    <cellStyle name="20% - Accent3 2 2 2" xfId="730"/>
    <cellStyle name="20% - Accent3 2 2 2 2" xfId="1150"/>
    <cellStyle name="20% - Accent3 2 2 3" xfId="1151"/>
    <cellStyle name="20% - Accent3 2 3" xfId="731"/>
    <cellStyle name="20% - Accent3 2 3 2" xfId="1152"/>
    <cellStyle name="20% - Accent3 2 4" xfId="1153"/>
    <cellStyle name="20% - Accent3 3" xfId="54"/>
    <cellStyle name="20% - Accent3 3 2" xfId="732"/>
    <cellStyle name="20% - Accent3 3 2 2" xfId="733"/>
    <cellStyle name="20% - Accent3 3 3" xfId="734"/>
    <cellStyle name="20% - Accent3 4" xfId="735"/>
    <cellStyle name="20% - Accent3 4 2" xfId="736"/>
    <cellStyle name="20% - Accent3 4 2 2" xfId="1154"/>
    <cellStyle name="20% - Accent3 4 3" xfId="1155"/>
    <cellStyle name="20% - Accent3 5" xfId="737"/>
    <cellStyle name="20% - Accent3 5 2" xfId="1156"/>
    <cellStyle name="20% - Accent3 5 2 2" xfId="1157"/>
    <cellStyle name="20% - Accent3 5 3" xfId="1158"/>
    <cellStyle name="20% - Accent3 6" xfId="1159"/>
    <cellStyle name="20% - Accent3 6 2" xfId="1160"/>
    <cellStyle name="20% - Accent3 6 2 2" xfId="1161"/>
    <cellStyle name="20% - Accent3 6 3" xfId="1162"/>
    <cellStyle name="20% - Accent3 7" xfId="1163"/>
    <cellStyle name="20% - Accent3 7 2" xfId="1164"/>
    <cellStyle name="20% - Accent3 7 2 2" xfId="1165"/>
    <cellStyle name="20% - Accent3 7 3" xfId="1166"/>
    <cellStyle name="20% - Accent3 8" xfId="1167"/>
    <cellStyle name="20% - Accent3 8 2" xfId="1168"/>
    <cellStyle name="20% - Accent3 8 2 2" xfId="1169"/>
    <cellStyle name="20% - Accent3 8 3" xfId="1170"/>
    <cellStyle name="20% - Accent3 9" xfId="1171"/>
    <cellStyle name="20% - Accent3 9 2" xfId="1172"/>
    <cellStyle name="20% - Accent3 9 2 2" xfId="1173"/>
    <cellStyle name="20% - Accent3 9 3" xfId="1174"/>
    <cellStyle name="20% - Accent4" xfId="34" builtinId="42" customBuiltin="1"/>
    <cellStyle name="20% - Accent4 10" xfId="1175"/>
    <cellStyle name="20% - Accent4 10 2" xfId="1176"/>
    <cellStyle name="20% - Accent4 10 2 2" xfId="1177"/>
    <cellStyle name="20% - Accent4 10 3" xfId="1178"/>
    <cellStyle name="20% - Accent4 11" xfId="1179"/>
    <cellStyle name="20% - Accent4 11 2" xfId="1180"/>
    <cellStyle name="20% - Accent4 12" xfId="1181"/>
    <cellStyle name="20% - Accent4 13" xfId="1182"/>
    <cellStyle name="20% - Accent4 14" xfId="1183"/>
    <cellStyle name="20% - Accent4 15" xfId="1184"/>
    <cellStyle name="20% - Accent4 16" xfId="1185"/>
    <cellStyle name="20% - Accent4 17" xfId="1186"/>
    <cellStyle name="20% - Accent4 2" xfId="55"/>
    <cellStyle name="20% - Accent4 2 2" xfId="56"/>
    <cellStyle name="20% - Accent4 2 2 2" xfId="738"/>
    <cellStyle name="20% - Accent4 2 2 2 2" xfId="1187"/>
    <cellStyle name="20% - Accent4 2 2 3" xfId="1188"/>
    <cellStyle name="20% - Accent4 2 3" xfId="739"/>
    <cellStyle name="20% - Accent4 2 3 2" xfId="1189"/>
    <cellStyle name="20% - Accent4 2 4" xfId="1190"/>
    <cellStyle name="20% - Accent4 3" xfId="57"/>
    <cellStyle name="20% - Accent4 3 2" xfId="740"/>
    <cellStyle name="20% - Accent4 3 2 2" xfId="741"/>
    <cellStyle name="20% - Accent4 3 3" xfId="742"/>
    <cellStyle name="20% - Accent4 4" xfId="743"/>
    <cellStyle name="20% - Accent4 4 2" xfId="744"/>
    <cellStyle name="20% - Accent4 4 2 2" xfId="1191"/>
    <cellStyle name="20% - Accent4 4 3" xfId="1192"/>
    <cellStyle name="20% - Accent4 5" xfId="745"/>
    <cellStyle name="20% - Accent4 5 2" xfId="1193"/>
    <cellStyle name="20% - Accent4 5 2 2" xfId="1194"/>
    <cellStyle name="20% - Accent4 5 3" xfId="1195"/>
    <cellStyle name="20% - Accent4 6" xfId="1196"/>
    <cellStyle name="20% - Accent4 6 2" xfId="1197"/>
    <cellStyle name="20% - Accent4 6 2 2" xfId="1198"/>
    <cellStyle name="20% - Accent4 6 3" xfId="1199"/>
    <cellStyle name="20% - Accent4 7" xfId="1200"/>
    <cellStyle name="20% - Accent4 7 2" xfId="1201"/>
    <cellStyle name="20% - Accent4 7 2 2" xfId="1202"/>
    <cellStyle name="20% - Accent4 7 3" xfId="1203"/>
    <cellStyle name="20% - Accent4 8" xfId="1204"/>
    <cellStyle name="20% - Accent4 8 2" xfId="1205"/>
    <cellStyle name="20% - Accent4 8 2 2" xfId="1206"/>
    <cellStyle name="20% - Accent4 8 3" xfId="1207"/>
    <cellStyle name="20% - Accent4 9" xfId="1208"/>
    <cellStyle name="20% - Accent4 9 2" xfId="1209"/>
    <cellStyle name="20% - Accent4 9 2 2" xfId="1210"/>
    <cellStyle name="20% - Accent4 9 3" xfId="1211"/>
    <cellStyle name="20% - Accent5" xfId="38" builtinId="46" customBuiltin="1"/>
    <cellStyle name="20% - Accent5 10" xfId="1212"/>
    <cellStyle name="20% - Accent5 10 2" xfId="1213"/>
    <cellStyle name="20% - Accent5 10 2 2" xfId="1214"/>
    <cellStyle name="20% - Accent5 10 3" xfId="1215"/>
    <cellStyle name="20% - Accent5 11" xfId="1216"/>
    <cellStyle name="20% - Accent5 11 2" xfId="1217"/>
    <cellStyle name="20% - Accent5 12" xfId="1218"/>
    <cellStyle name="20% - Accent5 13" xfId="1219"/>
    <cellStyle name="20% - Accent5 14" xfId="1220"/>
    <cellStyle name="20% - Accent5 15" xfId="1221"/>
    <cellStyle name="20% - Accent5 16" xfId="1222"/>
    <cellStyle name="20% - Accent5 17" xfId="1223"/>
    <cellStyle name="20% - Accent5 2" xfId="58"/>
    <cellStyle name="20% - Accent5 2 2" xfId="59"/>
    <cellStyle name="20% - Accent5 2 2 2" xfId="746"/>
    <cellStyle name="20% - Accent5 2 2 2 2" xfId="1224"/>
    <cellStyle name="20% - Accent5 2 2 3" xfId="1225"/>
    <cellStyle name="20% - Accent5 2 3" xfId="747"/>
    <cellStyle name="20% - Accent5 2 3 2" xfId="748"/>
    <cellStyle name="20% - Accent5 2 4" xfId="749"/>
    <cellStyle name="20% - Accent5 3" xfId="60"/>
    <cellStyle name="20% - Accent5 3 2" xfId="750"/>
    <cellStyle name="20% - Accent5 3 2 2" xfId="1226"/>
    <cellStyle name="20% - Accent5 3 3" xfId="1227"/>
    <cellStyle name="20% - Accent5 4" xfId="751"/>
    <cellStyle name="20% - Accent5 4 2" xfId="1228"/>
    <cellStyle name="20% - Accent5 4 2 2" xfId="1229"/>
    <cellStyle name="20% - Accent5 4 3" xfId="1230"/>
    <cellStyle name="20% - Accent5 5" xfId="1231"/>
    <cellStyle name="20% - Accent5 5 2" xfId="1232"/>
    <cellStyle name="20% - Accent5 5 2 2" xfId="1233"/>
    <cellStyle name="20% - Accent5 5 3" xfId="1234"/>
    <cellStyle name="20% - Accent5 6" xfId="1235"/>
    <cellStyle name="20% - Accent5 6 2" xfId="1236"/>
    <cellStyle name="20% - Accent5 6 2 2" xfId="1237"/>
    <cellStyle name="20% - Accent5 6 3" xfId="1238"/>
    <cellStyle name="20% - Accent5 7" xfId="1239"/>
    <cellStyle name="20% - Accent5 7 2" xfId="1240"/>
    <cellStyle name="20% - Accent5 7 2 2" xfId="1241"/>
    <cellStyle name="20% - Accent5 7 3" xfId="1242"/>
    <cellStyle name="20% - Accent5 8" xfId="1243"/>
    <cellStyle name="20% - Accent5 8 2" xfId="1244"/>
    <cellStyle name="20% - Accent5 8 2 2" xfId="1245"/>
    <cellStyle name="20% - Accent5 8 3" xfId="1246"/>
    <cellStyle name="20% - Accent5 9" xfId="1247"/>
    <cellStyle name="20% - Accent5 9 2" xfId="1248"/>
    <cellStyle name="20% - Accent5 9 2 2" xfId="1249"/>
    <cellStyle name="20% - Accent5 9 3" xfId="1250"/>
    <cellStyle name="20% - Accent6" xfId="42" builtinId="50" customBuiltin="1"/>
    <cellStyle name="20% - Accent6 10" xfId="1251"/>
    <cellStyle name="20% - Accent6 10 2" xfId="1252"/>
    <cellStyle name="20% - Accent6 10 2 2" xfId="1253"/>
    <cellStyle name="20% - Accent6 10 3" xfId="1254"/>
    <cellStyle name="20% - Accent6 11" xfId="1255"/>
    <cellStyle name="20% - Accent6 11 2" xfId="1256"/>
    <cellStyle name="20% - Accent6 12" xfId="1257"/>
    <cellStyle name="20% - Accent6 13" xfId="1258"/>
    <cellStyle name="20% - Accent6 14" xfId="1259"/>
    <cellStyle name="20% - Accent6 15" xfId="1260"/>
    <cellStyle name="20% - Accent6 16" xfId="1261"/>
    <cellStyle name="20% - Accent6 17" xfId="1262"/>
    <cellStyle name="20% - Accent6 2" xfId="61"/>
    <cellStyle name="20% - Accent6 2 2" xfId="62"/>
    <cellStyle name="20% - Accent6 2 2 2" xfId="752"/>
    <cellStyle name="20% - Accent6 2 2 2 2" xfId="1263"/>
    <cellStyle name="20% - Accent6 2 2 3" xfId="1264"/>
    <cellStyle name="20% - Accent6 2 3" xfId="753"/>
    <cellStyle name="20% - Accent6 2 3 2" xfId="754"/>
    <cellStyle name="20% - Accent6 2 4" xfId="755"/>
    <cellStyle name="20% - Accent6 3" xfId="63"/>
    <cellStyle name="20% - Accent6 3 2" xfId="756"/>
    <cellStyle name="20% - Accent6 3 2 2" xfId="1265"/>
    <cellStyle name="20% - Accent6 3 3" xfId="1266"/>
    <cellStyle name="20% - Accent6 4" xfId="757"/>
    <cellStyle name="20% - Accent6 4 2" xfId="1267"/>
    <cellStyle name="20% - Accent6 4 2 2" xfId="1268"/>
    <cellStyle name="20% - Accent6 4 3" xfId="1269"/>
    <cellStyle name="20% - Accent6 5" xfId="1270"/>
    <cellStyle name="20% - Accent6 5 2" xfId="1271"/>
    <cellStyle name="20% - Accent6 5 2 2" xfId="1272"/>
    <cellStyle name="20% - Accent6 5 3" xfId="1273"/>
    <cellStyle name="20% - Accent6 6" xfId="1274"/>
    <cellStyle name="20% - Accent6 6 2" xfId="1275"/>
    <cellStyle name="20% - Accent6 6 2 2" xfId="1276"/>
    <cellStyle name="20% - Accent6 6 3" xfId="1277"/>
    <cellStyle name="20% - Accent6 7" xfId="1278"/>
    <cellStyle name="20% - Accent6 7 2" xfId="1279"/>
    <cellStyle name="20% - Accent6 7 2 2" xfId="1280"/>
    <cellStyle name="20% - Accent6 7 3" xfId="1281"/>
    <cellStyle name="20% - Accent6 8" xfId="1282"/>
    <cellStyle name="20% - Accent6 8 2" xfId="1283"/>
    <cellStyle name="20% - Accent6 8 2 2" xfId="1284"/>
    <cellStyle name="20% - Accent6 8 3" xfId="1285"/>
    <cellStyle name="20% - Accent6 9" xfId="1286"/>
    <cellStyle name="20% - Accent6 9 2" xfId="1287"/>
    <cellStyle name="20% - Accent6 9 2 2" xfId="1288"/>
    <cellStyle name="20% - Accent6 9 3" xfId="1289"/>
    <cellStyle name="40% - Accent1" xfId="23" builtinId="31" customBuiltin="1"/>
    <cellStyle name="40% - Accent1 10" xfId="1290"/>
    <cellStyle name="40% - Accent1 10 2" xfId="1291"/>
    <cellStyle name="40% - Accent1 10 2 2" xfId="1292"/>
    <cellStyle name="40% - Accent1 10 3" xfId="1293"/>
    <cellStyle name="40% - Accent1 11" xfId="1294"/>
    <cellStyle name="40% - Accent1 11 2" xfId="1295"/>
    <cellStyle name="40% - Accent1 12" xfId="1296"/>
    <cellStyle name="40% - Accent1 13" xfId="1297"/>
    <cellStyle name="40% - Accent1 14" xfId="1298"/>
    <cellStyle name="40% - Accent1 15" xfId="1299"/>
    <cellStyle name="40% - Accent1 16" xfId="1300"/>
    <cellStyle name="40% - Accent1 17" xfId="1301"/>
    <cellStyle name="40% - Accent1 2" xfId="64"/>
    <cellStyle name="40% - Accent1 2 2" xfId="65"/>
    <cellStyle name="40% - Accent1 2 2 2" xfId="758"/>
    <cellStyle name="40% - Accent1 2 2 2 2" xfId="1302"/>
    <cellStyle name="40% - Accent1 2 2 3" xfId="1303"/>
    <cellStyle name="40% - Accent1 2 3" xfId="759"/>
    <cellStyle name="40% - Accent1 2 3 2" xfId="760"/>
    <cellStyle name="40% - Accent1 2 4" xfId="761"/>
    <cellStyle name="40% - Accent1 3" xfId="66"/>
    <cellStyle name="40% - Accent1 3 2" xfId="762"/>
    <cellStyle name="40% - Accent1 3 2 2" xfId="1304"/>
    <cellStyle name="40% - Accent1 3 3" xfId="1305"/>
    <cellStyle name="40% - Accent1 4" xfId="763"/>
    <cellStyle name="40% - Accent1 4 2" xfId="1306"/>
    <cellStyle name="40% - Accent1 4 2 2" xfId="1307"/>
    <cellStyle name="40% - Accent1 4 3" xfId="1308"/>
    <cellStyle name="40% - Accent1 5" xfId="1309"/>
    <cellStyle name="40% - Accent1 5 2" xfId="1310"/>
    <cellStyle name="40% - Accent1 5 2 2" xfId="1311"/>
    <cellStyle name="40% - Accent1 5 3" xfId="1312"/>
    <cellStyle name="40% - Accent1 6" xfId="1313"/>
    <cellStyle name="40% - Accent1 6 2" xfId="1314"/>
    <cellStyle name="40% - Accent1 6 2 2" xfId="1315"/>
    <cellStyle name="40% - Accent1 6 3" xfId="1316"/>
    <cellStyle name="40% - Accent1 7" xfId="1317"/>
    <cellStyle name="40% - Accent1 7 2" xfId="1318"/>
    <cellStyle name="40% - Accent1 7 2 2" xfId="1319"/>
    <cellStyle name="40% - Accent1 7 3" xfId="1320"/>
    <cellStyle name="40% - Accent1 8" xfId="1321"/>
    <cellStyle name="40% - Accent1 8 2" xfId="1322"/>
    <cellStyle name="40% - Accent1 8 2 2" xfId="1323"/>
    <cellStyle name="40% - Accent1 8 3" xfId="1324"/>
    <cellStyle name="40% - Accent1 9" xfId="1325"/>
    <cellStyle name="40% - Accent1 9 2" xfId="1326"/>
    <cellStyle name="40% - Accent1 9 2 2" xfId="1327"/>
    <cellStyle name="40% - Accent1 9 3" xfId="1328"/>
    <cellStyle name="40% - Accent2" xfId="27" builtinId="35" customBuiltin="1"/>
    <cellStyle name="40% - Accent2 10" xfId="1329"/>
    <cellStyle name="40% - Accent2 10 2" xfId="1330"/>
    <cellStyle name="40% - Accent2 10 2 2" xfId="1331"/>
    <cellStyle name="40% - Accent2 10 3" xfId="1332"/>
    <cellStyle name="40% - Accent2 11" xfId="1333"/>
    <cellStyle name="40% - Accent2 11 2" xfId="1334"/>
    <cellStyle name="40% - Accent2 12" xfId="1335"/>
    <cellStyle name="40% - Accent2 13" xfId="1336"/>
    <cellStyle name="40% - Accent2 14" xfId="1337"/>
    <cellStyle name="40% - Accent2 15" xfId="1338"/>
    <cellStyle name="40% - Accent2 16" xfId="1339"/>
    <cellStyle name="40% - Accent2 17" xfId="1340"/>
    <cellStyle name="40% - Accent2 2" xfId="67"/>
    <cellStyle name="40% - Accent2 2 2" xfId="68"/>
    <cellStyle name="40% - Accent2 2 2 2" xfId="764"/>
    <cellStyle name="40% - Accent2 2 2 2 2" xfId="1341"/>
    <cellStyle name="40% - Accent2 2 2 3" xfId="1342"/>
    <cellStyle name="40% - Accent2 2 3" xfId="765"/>
    <cellStyle name="40% - Accent2 2 3 2" xfId="766"/>
    <cellStyle name="40% - Accent2 2 4" xfId="767"/>
    <cellStyle name="40% - Accent2 3" xfId="69"/>
    <cellStyle name="40% - Accent2 3 2" xfId="768"/>
    <cellStyle name="40% - Accent2 3 2 2" xfId="1343"/>
    <cellStyle name="40% - Accent2 3 3" xfId="1344"/>
    <cellStyle name="40% - Accent2 4" xfId="769"/>
    <cellStyle name="40% - Accent2 4 2" xfId="1345"/>
    <cellStyle name="40% - Accent2 4 2 2" xfId="1346"/>
    <cellStyle name="40% - Accent2 4 3" xfId="1347"/>
    <cellStyle name="40% - Accent2 5" xfId="1348"/>
    <cellStyle name="40% - Accent2 5 2" xfId="1349"/>
    <cellStyle name="40% - Accent2 5 2 2" xfId="1350"/>
    <cellStyle name="40% - Accent2 5 3" xfId="1351"/>
    <cellStyle name="40% - Accent2 6" xfId="1352"/>
    <cellStyle name="40% - Accent2 6 2" xfId="1353"/>
    <cellStyle name="40% - Accent2 6 2 2" xfId="1354"/>
    <cellStyle name="40% - Accent2 6 3" xfId="1355"/>
    <cellStyle name="40% - Accent2 7" xfId="1356"/>
    <cellStyle name="40% - Accent2 7 2" xfId="1357"/>
    <cellStyle name="40% - Accent2 7 2 2" xfId="1358"/>
    <cellStyle name="40% - Accent2 7 3" xfId="1359"/>
    <cellStyle name="40% - Accent2 8" xfId="1360"/>
    <cellStyle name="40% - Accent2 8 2" xfId="1361"/>
    <cellStyle name="40% - Accent2 8 2 2" xfId="1362"/>
    <cellStyle name="40% - Accent2 8 3" xfId="1363"/>
    <cellStyle name="40% - Accent2 9" xfId="1364"/>
    <cellStyle name="40% - Accent2 9 2" xfId="1365"/>
    <cellStyle name="40% - Accent2 9 2 2" xfId="1366"/>
    <cellStyle name="40% - Accent2 9 3" xfId="1367"/>
    <cellStyle name="40% - Accent3" xfId="31" builtinId="39" customBuiltin="1"/>
    <cellStyle name="40% - Accent3 10" xfId="1368"/>
    <cellStyle name="40% - Accent3 10 2" xfId="1369"/>
    <cellStyle name="40% - Accent3 10 2 2" xfId="1370"/>
    <cellStyle name="40% - Accent3 10 3" xfId="1371"/>
    <cellStyle name="40% - Accent3 11" xfId="1372"/>
    <cellStyle name="40% - Accent3 11 2" xfId="1373"/>
    <cellStyle name="40% - Accent3 12" xfId="1374"/>
    <cellStyle name="40% - Accent3 13" xfId="1375"/>
    <cellStyle name="40% - Accent3 14" xfId="1376"/>
    <cellStyle name="40% - Accent3 15" xfId="1377"/>
    <cellStyle name="40% - Accent3 16" xfId="1378"/>
    <cellStyle name="40% - Accent3 17" xfId="1379"/>
    <cellStyle name="40% - Accent3 2" xfId="70"/>
    <cellStyle name="40% - Accent3 2 2" xfId="71"/>
    <cellStyle name="40% - Accent3 2 2 2" xfId="770"/>
    <cellStyle name="40% - Accent3 2 2 2 2" xfId="1380"/>
    <cellStyle name="40% - Accent3 2 2 3" xfId="1381"/>
    <cellStyle name="40% - Accent3 2 3" xfId="771"/>
    <cellStyle name="40% - Accent3 2 3 2" xfId="1382"/>
    <cellStyle name="40% - Accent3 2 4" xfId="1383"/>
    <cellStyle name="40% - Accent3 3" xfId="72"/>
    <cellStyle name="40% - Accent3 3 2" xfId="772"/>
    <cellStyle name="40% - Accent3 3 2 2" xfId="773"/>
    <cellStyle name="40% - Accent3 3 3" xfId="774"/>
    <cellStyle name="40% - Accent3 4" xfId="775"/>
    <cellStyle name="40% - Accent3 4 2" xfId="776"/>
    <cellStyle name="40% - Accent3 4 2 2" xfId="1384"/>
    <cellStyle name="40% - Accent3 4 3" xfId="1385"/>
    <cellStyle name="40% - Accent3 5" xfId="777"/>
    <cellStyle name="40% - Accent3 5 2" xfId="1386"/>
    <cellStyle name="40% - Accent3 5 2 2" xfId="1387"/>
    <cellStyle name="40% - Accent3 5 3" xfId="1388"/>
    <cellStyle name="40% - Accent3 6" xfId="1389"/>
    <cellStyle name="40% - Accent3 6 2" xfId="1390"/>
    <cellStyle name="40% - Accent3 6 2 2" xfId="1391"/>
    <cellStyle name="40% - Accent3 6 3" xfId="1392"/>
    <cellStyle name="40% - Accent3 7" xfId="1393"/>
    <cellStyle name="40% - Accent3 7 2" xfId="1394"/>
    <cellStyle name="40% - Accent3 7 2 2" xfId="1395"/>
    <cellStyle name="40% - Accent3 7 3" xfId="1396"/>
    <cellStyle name="40% - Accent3 8" xfId="1397"/>
    <cellStyle name="40% - Accent3 8 2" xfId="1398"/>
    <cellStyle name="40% - Accent3 8 2 2" xfId="1399"/>
    <cellStyle name="40% - Accent3 8 3" xfId="1400"/>
    <cellStyle name="40% - Accent3 9" xfId="1401"/>
    <cellStyle name="40% - Accent3 9 2" xfId="1402"/>
    <cellStyle name="40% - Accent3 9 2 2" xfId="1403"/>
    <cellStyle name="40% - Accent3 9 3" xfId="1404"/>
    <cellStyle name="40% - Accent4" xfId="35" builtinId="43" customBuiltin="1"/>
    <cellStyle name="40% - Accent4 10" xfId="1405"/>
    <cellStyle name="40% - Accent4 10 2" xfId="1406"/>
    <cellStyle name="40% - Accent4 10 2 2" xfId="1407"/>
    <cellStyle name="40% - Accent4 10 3" xfId="1408"/>
    <cellStyle name="40% - Accent4 11" xfId="1409"/>
    <cellStyle name="40% - Accent4 11 2" xfId="1410"/>
    <cellStyle name="40% - Accent4 12" xfId="1411"/>
    <cellStyle name="40% - Accent4 13" xfId="1412"/>
    <cellStyle name="40% - Accent4 14" xfId="1413"/>
    <cellStyle name="40% - Accent4 15" xfId="1414"/>
    <cellStyle name="40% - Accent4 16" xfId="1415"/>
    <cellStyle name="40% - Accent4 17" xfId="1416"/>
    <cellStyle name="40% - Accent4 2" xfId="73"/>
    <cellStyle name="40% - Accent4 2 2" xfId="74"/>
    <cellStyle name="40% - Accent4 2 2 2" xfId="778"/>
    <cellStyle name="40% - Accent4 2 2 2 2" xfId="1417"/>
    <cellStyle name="40% - Accent4 2 2 3" xfId="1418"/>
    <cellStyle name="40% - Accent4 2 3" xfId="779"/>
    <cellStyle name="40% - Accent4 2 3 2" xfId="780"/>
    <cellStyle name="40% - Accent4 2 4" xfId="781"/>
    <cellStyle name="40% - Accent4 3" xfId="75"/>
    <cellStyle name="40% - Accent4 3 2" xfId="782"/>
    <cellStyle name="40% - Accent4 3 2 2" xfId="1419"/>
    <cellStyle name="40% - Accent4 3 3" xfId="1420"/>
    <cellStyle name="40% - Accent4 4" xfId="783"/>
    <cellStyle name="40% - Accent4 4 2" xfId="1421"/>
    <cellStyle name="40% - Accent4 4 2 2" xfId="1422"/>
    <cellStyle name="40% - Accent4 4 3" xfId="1423"/>
    <cellStyle name="40% - Accent4 5" xfId="1424"/>
    <cellStyle name="40% - Accent4 5 2" xfId="1425"/>
    <cellStyle name="40% - Accent4 5 2 2" xfId="1426"/>
    <cellStyle name="40% - Accent4 5 3" xfId="1427"/>
    <cellStyle name="40% - Accent4 6" xfId="1428"/>
    <cellStyle name="40% - Accent4 6 2" xfId="1429"/>
    <cellStyle name="40% - Accent4 6 2 2" xfId="1430"/>
    <cellStyle name="40% - Accent4 6 3" xfId="1431"/>
    <cellStyle name="40% - Accent4 7" xfId="1432"/>
    <cellStyle name="40% - Accent4 7 2" xfId="1433"/>
    <cellStyle name="40% - Accent4 7 2 2" xfId="1434"/>
    <cellStyle name="40% - Accent4 7 3" xfId="1435"/>
    <cellStyle name="40% - Accent4 8" xfId="1436"/>
    <cellStyle name="40% - Accent4 8 2" xfId="1437"/>
    <cellStyle name="40% - Accent4 8 2 2" xfId="1438"/>
    <cellStyle name="40% - Accent4 8 3" xfId="1439"/>
    <cellStyle name="40% - Accent4 9" xfId="1440"/>
    <cellStyle name="40% - Accent4 9 2" xfId="1441"/>
    <cellStyle name="40% - Accent4 9 2 2" xfId="1442"/>
    <cellStyle name="40% - Accent4 9 3" xfId="1443"/>
    <cellStyle name="40% - Accent5" xfId="39" builtinId="47" customBuiltin="1"/>
    <cellStyle name="40% - Accent5 10" xfId="1444"/>
    <cellStyle name="40% - Accent5 10 2" xfId="1445"/>
    <cellStyle name="40% - Accent5 10 2 2" xfId="1446"/>
    <cellStyle name="40% - Accent5 10 3" xfId="1447"/>
    <cellStyle name="40% - Accent5 11" xfId="1448"/>
    <cellStyle name="40% - Accent5 11 2" xfId="1449"/>
    <cellStyle name="40% - Accent5 12" xfId="1450"/>
    <cellStyle name="40% - Accent5 13" xfId="1451"/>
    <cellStyle name="40% - Accent5 14" xfId="1452"/>
    <cellStyle name="40% - Accent5 15" xfId="1453"/>
    <cellStyle name="40% - Accent5 16" xfId="1454"/>
    <cellStyle name="40% - Accent5 17" xfId="1455"/>
    <cellStyle name="40% - Accent5 2" xfId="76"/>
    <cellStyle name="40% - Accent5 2 2" xfId="77"/>
    <cellStyle name="40% - Accent5 2 2 2" xfId="784"/>
    <cellStyle name="40% - Accent5 2 2 2 2" xfId="1456"/>
    <cellStyle name="40% - Accent5 2 2 3" xfId="1457"/>
    <cellStyle name="40% - Accent5 2 3" xfId="785"/>
    <cellStyle name="40% - Accent5 2 3 2" xfId="786"/>
    <cellStyle name="40% - Accent5 2 4" xfId="787"/>
    <cellStyle name="40% - Accent5 3" xfId="78"/>
    <cellStyle name="40% - Accent5 3 2" xfId="788"/>
    <cellStyle name="40% - Accent5 3 2 2" xfId="1458"/>
    <cellStyle name="40% - Accent5 3 3" xfId="1459"/>
    <cellStyle name="40% - Accent5 4" xfId="789"/>
    <cellStyle name="40% - Accent5 4 2" xfId="1460"/>
    <cellStyle name="40% - Accent5 4 2 2" xfId="1461"/>
    <cellStyle name="40% - Accent5 4 3" xfId="1462"/>
    <cellStyle name="40% - Accent5 5" xfId="1463"/>
    <cellStyle name="40% - Accent5 5 2" xfId="1464"/>
    <cellStyle name="40% - Accent5 5 2 2" xfId="1465"/>
    <cellStyle name="40% - Accent5 5 3" xfId="1466"/>
    <cellStyle name="40% - Accent5 6" xfId="1467"/>
    <cellStyle name="40% - Accent5 6 2" xfId="1468"/>
    <cellStyle name="40% - Accent5 6 2 2" xfId="1469"/>
    <cellStyle name="40% - Accent5 6 3" xfId="1470"/>
    <cellStyle name="40% - Accent5 7" xfId="1471"/>
    <cellStyle name="40% - Accent5 7 2" xfId="1472"/>
    <cellStyle name="40% - Accent5 7 2 2" xfId="1473"/>
    <cellStyle name="40% - Accent5 7 3" xfId="1474"/>
    <cellStyle name="40% - Accent5 8" xfId="1475"/>
    <cellStyle name="40% - Accent5 8 2" xfId="1476"/>
    <cellStyle name="40% - Accent5 8 2 2" xfId="1477"/>
    <cellStyle name="40% - Accent5 8 3" xfId="1478"/>
    <cellStyle name="40% - Accent5 9" xfId="1479"/>
    <cellStyle name="40% - Accent5 9 2" xfId="1480"/>
    <cellStyle name="40% - Accent5 9 2 2" xfId="1481"/>
    <cellStyle name="40% - Accent5 9 3" xfId="1482"/>
    <cellStyle name="40% - Accent6" xfId="43" builtinId="51" customBuiltin="1"/>
    <cellStyle name="40% - Accent6 10" xfId="1483"/>
    <cellStyle name="40% - Accent6 10 2" xfId="1484"/>
    <cellStyle name="40% - Accent6 10 2 2" xfId="1485"/>
    <cellStyle name="40% - Accent6 10 3" xfId="1486"/>
    <cellStyle name="40% - Accent6 11" xfId="1487"/>
    <cellStyle name="40% - Accent6 11 2" xfId="1488"/>
    <cellStyle name="40% - Accent6 12" xfId="1489"/>
    <cellStyle name="40% - Accent6 13" xfId="1490"/>
    <cellStyle name="40% - Accent6 14" xfId="1491"/>
    <cellStyle name="40% - Accent6 15" xfId="1492"/>
    <cellStyle name="40% - Accent6 16" xfId="1493"/>
    <cellStyle name="40% - Accent6 17" xfId="1494"/>
    <cellStyle name="40% - Accent6 2" xfId="79"/>
    <cellStyle name="40% - Accent6 2 2" xfId="80"/>
    <cellStyle name="40% - Accent6 2 2 2" xfId="790"/>
    <cellStyle name="40% - Accent6 2 2 2 2" xfId="1495"/>
    <cellStyle name="40% - Accent6 2 2 3" xfId="1496"/>
    <cellStyle name="40% - Accent6 2 3" xfId="791"/>
    <cellStyle name="40% - Accent6 2 3 2" xfId="792"/>
    <cellStyle name="40% - Accent6 2 4" xfId="793"/>
    <cellStyle name="40% - Accent6 3" xfId="81"/>
    <cellStyle name="40% - Accent6 3 2" xfId="794"/>
    <cellStyle name="40% - Accent6 3 2 2" xfId="1497"/>
    <cellStyle name="40% - Accent6 3 3" xfId="1498"/>
    <cellStyle name="40% - Accent6 4" xfId="795"/>
    <cellStyle name="40% - Accent6 4 2" xfId="1499"/>
    <cellStyle name="40% - Accent6 4 2 2" xfId="1500"/>
    <cellStyle name="40% - Accent6 4 3" xfId="1501"/>
    <cellStyle name="40% - Accent6 5" xfId="1502"/>
    <cellStyle name="40% - Accent6 5 2" xfId="1503"/>
    <cellStyle name="40% - Accent6 5 2 2" xfId="1504"/>
    <cellStyle name="40% - Accent6 5 3" xfId="1505"/>
    <cellStyle name="40% - Accent6 6" xfId="1506"/>
    <cellStyle name="40% - Accent6 6 2" xfId="1507"/>
    <cellStyle name="40% - Accent6 6 2 2" xfId="1508"/>
    <cellStyle name="40% - Accent6 6 3" xfId="1509"/>
    <cellStyle name="40% - Accent6 7" xfId="1510"/>
    <cellStyle name="40% - Accent6 7 2" xfId="1511"/>
    <cellStyle name="40% - Accent6 7 2 2" xfId="1512"/>
    <cellStyle name="40% - Accent6 7 3" xfId="1513"/>
    <cellStyle name="40% - Accent6 8" xfId="1514"/>
    <cellStyle name="40% - Accent6 8 2" xfId="1515"/>
    <cellStyle name="40% - Accent6 8 2 2" xfId="1516"/>
    <cellStyle name="40% - Accent6 8 3" xfId="1517"/>
    <cellStyle name="40% - Accent6 9" xfId="1518"/>
    <cellStyle name="40% - Accent6 9 2" xfId="1519"/>
    <cellStyle name="40% - Accent6 9 2 2" xfId="1520"/>
    <cellStyle name="40% - Accent6 9 3" xfId="1521"/>
    <cellStyle name="60% - Accent1" xfId="24" builtinId="32" customBuiltin="1"/>
    <cellStyle name="60% - Accent1 2" xfId="82"/>
    <cellStyle name="60% - Accent1 2 2" xfId="83"/>
    <cellStyle name="60% - Accent1 2 2 2" xfId="796"/>
    <cellStyle name="60% - Accent1 2 3" xfId="797"/>
    <cellStyle name="60% - Accent1 2 3 2" xfId="798"/>
    <cellStyle name="60% - Accent1 2 4" xfId="799"/>
    <cellStyle name="60% - Accent1 3" xfId="84"/>
    <cellStyle name="60% - Accent1 3 2" xfId="800"/>
    <cellStyle name="60% - Accent2" xfId="28" builtinId="36" customBuiltin="1"/>
    <cellStyle name="60% - Accent2 2" xfId="85"/>
    <cellStyle name="60% - Accent2 2 2" xfId="86"/>
    <cellStyle name="60% - Accent2 2 2 2" xfId="801"/>
    <cellStyle name="60% - Accent2 2 3" xfId="802"/>
    <cellStyle name="60% - Accent2 2 3 2" xfId="803"/>
    <cellStyle name="60% - Accent2 2 4" xfId="804"/>
    <cellStyle name="60% - Accent2 3" xfId="87"/>
    <cellStyle name="60% - Accent2 3 2" xfId="805"/>
    <cellStyle name="60% - Accent3" xfId="32" builtinId="40" customBuiltin="1"/>
    <cellStyle name="60% - Accent3 2" xfId="88"/>
    <cellStyle name="60% - Accent3 2 2" xfId="89"/>
    <cellStyle name="60% - Accent3 2 2 2" xfId="806"/>
    <cellStyle name="60% - Accent3 2 3" xfId="807"/>
    <cellStyle name="60% - Accent3 3" xfId="90"/>
    <cellStyle name="60% - Accent3 3 2" xfId="808"/>
    <cellStyle name="60% - Accent3 3 2 2" xfId="809"/>
    <cellStyle name="60% - Accent3 3 3" xfId="810"/>
    <cellStyle name="60% - Accent3 4" xfId="811"/>
    <cellStyle name="60% - Accent3 4 2" xfId="812"/>
    <cellStyle name="60% - Accent4" xfId="36" builtinId="44" customBuiltin="1"/>
    <cellStyle name="60% - Accent4 2" xfId="91"/>
    <cellStyle name="60% - Accent4 2 2" xfId="92"/>
    <cellStyle name="60% - Accent4 2 2 2" xfId="813"/>
    <cellStyle name="60% - Accent4 2 3" xfId="814"/>
    <cellStyle name="60% - Accent4 3" xfId="93"/>
    <cellStyle name="60% - Accent4 3 2" xfId="815"/>
    <cellStyle name="60% - Accent4 3 2 2" xfId="816"/>
    <cellStyle name="60% - Accent4 3 3" xfId="817"/>
    <cellStyle name="60% - Accent4 4" xfId="818"/>
    <cellStyle name="60% - Accent4 4 2" xfId="819"/>
    <cellStyle name="60% - Accent5" xfId="40" builtinId="48" customBuiltin="1"/>
    <cellStyle name="60% - Accent5 2" xfId="94"/>
    <cellStyle name="60% - Accent5 2 2" xfId="95"/>
    <cellStyle name="60% - Accent5 2 2 2" xfId="820"/>
    <cellStyle name="60% - Accent5 2 3" xfId="821"/>
    <cellStyle name="60% - Accent5 2 3 2" xfId="822"/>
    <cellStyle name="60% - Accent5 2 4" xfId="823"/>
    <cellStyle name="60% - Accent5 3" xfId="96"/>
    <cellStyle name="60% - Accent5 3 2" xfId="824"/>
    <cellStyle name="60% - Accent6" xfId="44" builtinId="52" customBuiltin="1"/>
    <cellStyle name="60% - Accent6 2" xfId="97"/>
    <cellStyle name="60% - Accent6 2 2" xfId="98"/>
    <cellStyle name="60% - Accent6 2 2 2" xfId="825"/>
    <cellStyle name="60% - Accent6 2 3" xfId="826"/>
    <cellStyle name="60% - Accent6 3" xfId="99"/>
    <cellStyle name="60% - Accent6 3 2" xfId="827"/>
    <cellStyle name="60% - Accent6 3 2 2" xfId="828"/>
    <cellStyle name="60% - Accent6 3 3" xfId="829"/>
    <cellStyle name="60% - Accent6 4" xfId="830"/>
    <cellStyle name="60% - Accent6 4 2" xfId="831"/>
    <cellStyle name="Accent1" xfId="21" builtinId="29" customBuiltin="1"/>
    <cellStyle name="Accent1 2" xfId="100"/>
    <cellStyle name="Accent1 2 2" xfId="101"/>
    <cellStyle name="Accent1 2 2 2" xfId="832"/>
    <cellStyle name="Accent1 2 3" xfId="833"/>
    <cellStyle name="Accent1 2 3 2" xfId="834"/>
    <cellStyle name="Accent1 2 4" xfId="835"/>
    <cellStyle name="Accent1 3" xfId="102"/>
    <cellStyle name="Accent1 3 2" xfId="836"/>
    <cellStyle name="Accent2" xfId="25" builtinId="33" customBuiltin="1"/>
    <cellStyle name="Accent2 2" xfId="103"/>
    <cellStyle name="Accent2 2 2" xfId="104"/>
    <cellStyle name="Accent2 2 2 2" xfId="837"/>
    <cellStyle name="Accent2 2 3" xfId="838"/>
    <cellStyle name="Accent2 2 3 2" xfId="839"/>
    <cellStyle name="Accent2 2 4" xfId="840"/>
    <cellStyle name="Accent2 3" xfId="105"/>
    <cellStyle name="Accent2 3 2" xfId="841"/>
    <cellStyle name="Accent3" xfId="29" builtinId="37" customBuiltin="1"/>
    <cellStyle name="Accent3 2" xfId="106"/>
    <cellStyle name="Accent3 2 2" xfId="107"/>
    <cellStyle name="Accent3 2 2 2" xfId="842"/>
    <cellStyle name="Accent3 2 3" xfId="843"/>
    <cellStyle name="Accent3 2 3 2" xfId="844"/>
    <cellStyle name="Accent3 2 4" xfId="845"/>
    <cellStyle name="Accent3 3" xfId="108"/>
    <cellStyle name="Accent3 3 2" xfId="846"/>
    <cellStyle name="Accent4" xfId="33" builtinId="41" customBuiltin="1"/>
    <cellStyle name="Accent4 2" xfId="109"/>
    <cellStyle name="Accent4 2 2" xfId="110"/>
    <cellStyle name="Accent4 2 2 2" xfId="847"/>
    <cellStyle name="Accent4 2 3" xfId="848"/>
    <cellStyle name="Accent4 2 3 2" xfId="849"/>
    <cellStyle name="Accent4 2 4" xfId="850"/>
    <cellStyle name="Accent4 3" xfId="111"/>
    <cellStyle name="Accent4 3 2" xfId="851"/>
    <cellStyle name="Accent5" xfId="37" builtinId="45" customBuiltin="1"/>
    <cellStyle name="Accent5 2" xfId="112"/>
    <cellStyle name="Accent5 2 2" xfId="113"/>
    <cellStyle name="Accent5 2 2 2" xfId="852"/>
    <cellStyle name="Accent5 2 3" xfId="853"/>
    <cellStyle name="Accent5 2 3 2" xfId="854"/>
    <cellStyle name="Accent5 2 4" xfId="855"/>
    <cellStyle name="Accent5 3" xfId="114"/>
    <cellStyle name="Accent5 3 2" xfId="856"/>
    <cellStyle name="Accent6" xfId="41" builtinId="49" customBuiltin="1"/>
    <cellStyle name="Accent6 2" xfId="115"/>
    <cellStyle name="Accent6 2 2" xfId="116"/>
    <cellStyle name="Accent6 2 2 2" xfId="857"/>
    <cellStyle name="Accent6 2 3" xfId="858"/>
    <cellStyle name="Accent6 2 3 2" xfId="859"/>
    <cellStyle name="Accent6 2 4" xfId="860"/>
    <cellStyle name="Accent6 3" xfId="117"/>
    <cellStyle name="Accent6 3 2" xfId="861"/>
    <cellStyle name="Bad" xfId="10" builtinId="27" customBuiltin="1"/>
    <cellStyle name="Bad 2" xfId="118"/>
    <cellStyle name="Bad 2 2" xfId="119"/>
    <cellStyle name="Bad 2 2 2" xfId="862"/>
    <cellStyle name="Bad 2 3" xfId="863"/>
    <cellStyle name="Bad 2 3 2" xfId="864"/>
    <cellStyle name="Bad 2 4" xfId="865"/>
    <cellStyle name="Bad 3" xfId="120"/>
    <cellStyle name="Bad 3 2" xfId="866"/>
    <cellStyle name="Calculation" xfId="14" builtinId="22" customBuiltin="1"/>
    <cellStyle name="Calculation 2" xfId="121"/>
    <cellStyle name="Calculation 2 2" xfId="122"/>
    <cellStyle name="Calculation 2 2 2" xfId="867"/>
    <cellStyle name="Calculation 2 3" xfId="868"/>
    <cellStyle name="Calculation 2 3 2" xfId="869"/>
    <cellStyle name="Calculation 2 3 2 2" xfId="870"/>
    <cellStyle name="Calculation 2 3 3" xfId="871"/>
    <cellStyle name="Calculation 2 3 3 2" xfId="872"/>
    <cellStyle name="Calculation 2 3 4" xfId="873"/>
    <cellStyle name="Calculation 2 4" xfId="874"/>
    <cellStyle name="Calculation 2 4 2" xfId="875"/>
    <cellStyle name="Calculation 2 5" xfId="876"/>
    <cellStyle name="Calculation 2 5 2" xfId="877"/>
    <cellStyle name="Calculation 2 6" xfId="878"/>
    <cellStyle name="Calculation 3" xfId="123"/>
    <cellStyle name="Calculation 3 2" xfId="879"/>
    <cellStyle name="Check Cell" xfId="16" builtinId="23" customBuiltin="1"/>
    <cellStyle name="Check Cell 2" xfId="124"/>
    <cellStyle name="Check Cell 2 2" xfId="125"/>
    <cellStyle name="Check Cell 2 2 2" xfId="880"/>
    <cellStyle name="Check Cell 2 3" xfId="881"/>
    <cellStyle name="Check Cell 2 3 2" xfId="882"/>
    <cellStyle name="Check Cell 2 4" xfId="883"/>
    <cellStyle name="Check Cell 3" xfId="126"/>
    <cellStyle name="Check Cell 3 2" xfId="884"/>
    <cellStyle name="Comma" xfId="1" builtinId="3"/>
    <cellStyle name="Comma [0] 2" xfId="127"/>
    <cellStyle name="Comma [0] 3" xfId="128"/>
    <cellStyle name="Comma [0] 3 2" xfId="129"/>
    <cellStyle name="Comma [0] 4" xfId="130"/>
    <cellStyle name="Comma [0] 4 2" xfId="131"/>
    <cellStyle name="Comma [0] 5" xfId="132"/>
    <cellStyle name="Comma [0] 5 2" xfId="133"/>
    <cellStyle name="Comma [0] 5 3" xfId="134"/>
    <cellStyle name="Comma [0] 5 4" xfId="135"/>
    <cellStyle name="Comma [0] 5 5" xfId="136"/>
    <cellStyle name="Comma [0] 6" xfId="137"/>
    <cellStyle name="Comma [0] 6 2" xfId="138"/>
    <cellStyle name="Comma [0] 7" xfId="139"/>
    <cellStyle name="Comma [0] 7 2" xfId="140"/>
    <cellStyle name="Comma [0] 7 2 2" xfId="141"/>
    <cellStyle name="Comma [0] 7 2 3" xfId="142"/>
    <cellStyle name="Comma [0] 7 3" xfId="143"/>
    <cellStyle name="Comma [0] 7 4" xfId="144"/>
    <cellStyle name="Comma [0] 8" xfId="145"/>
    <cellStyle name="Comma [0] 8 2" xfId="146"/>
    <cellStyle name="Comma [0] 8 3" xfId="147"/>
    <cellStyle name="Comma 10" xfId="148"/>
    <cellStyle name="Comma 100" xfId="149"/>
    <cellStyle name="Comma 100 2" xfId="150"/>
    <cellStyle name="Comma 101" xfId="151"/>
    <cellStyle name="Comma 102" xfId="152"/>
    <cellStyle name="Comma 103" xfId="153"/>
    <cellStyle name="Comma 104" xfId="154"/>
    <cellStyle name="Comma 11" xfId="155"/>
    <cellStyle name="Comma 11 2" xfId="156"/>
    <cellStyle name="Comma 12" xfId="157"/>
    <cellStyle name="Comma 13" xfId="158"/>
    <cellStyle name="Comma 14" xfId="159"/>
    <cellStyle name="Comma 15" xfId="160"/>
    <cellStyle name="Comma 16" xfId="161"/>
    <cellStyle name="Comma 17" xfId="162"/>
    <cellStyle name="Comma 18" xfId="163"/>
    <cellStyle name="Comma 19" xfId="164"/>
    <cellStyle name="Comma 2" xfId="165"/>
    <cellStyle name="Comma 2 2" xfId="166"/>
    <cellStyle name="Comma 2 2 2" xfId="167"/>
    <cellStyle name="Comma 2 3" xfId="168"/>
    <cellStyle name="Comma 2 3 2" xfId="885"/>
    <cellStyle name="Comma 2 4" xfId="169"/>
    <cellStyle name="Comma 2 5" xfId="170"/>
    <cellStyle name="Comma 20" xfId="171"/>
    <cellStyle name="Comma 21" xfId="172"/>
    <cellStyle name="Comma 22" xfId="173"/>
    <cellStyle name="Comma 23" xfId="174"/>
    <cellStyle name="Comma 24" xfId="175"/>
    <cellStyle name="Comma 25" xfId="176"/>
    <cellStyle name="Comma 25 2" xfId="177"/>
    <cellStyle name="Comma 26" xfId="178"/>
    <cellStyle name="Comma 26 2" xfId="179"/>
    <cellStyle name="Comma 27" xfId="180"/>
    <cellStyle name="Comma 27 2" xfId="181"/>
    <cellStyle name="Comma 28" xfId="182"/>
    <cellStyle name="Comma 28 2" xfId="183"/>
    <cellStyle name="Comma 29" xfId="184"/>
    <cellStyle name="Comma 3" xfId="185"/>
    <cellStyle name="Comma 3 2" xfId="186"/>
    <cellStyle name="Comma 3 3" xfId="187"/>
    <cellStyle name="Comma 3 4" xfId="886"/>
    <cellStyle name="Comma 30" xfId="188"/>
    <cellStyle name="Comma 31" xfId="189"/>
    <cellStyle name="Comma 32" xfId="190"/>
    <cellStyle name="Comma 32 2" xfId="191"/>
    <cellStyle name="Comma 32 3" xfId="192"/>
    <cellStyle name="Comma 33" xfId="193"/>
    <cellStyle name="Comma 33 2" xfId="194"/>
    <cellStyle name="Comma 33 3" xfId="195"/>
    <cellStyle name="Comma 34" xfId="196"/>
    <cellStyle name="Comma 34 2" xfId="197"/>
    <cellStyle name="Comma 34 3" xfId="198"/>
    <cellStyle name="Comma 34 4" xfId="199"/>
    <cellStyle name="Comma 34 5" xfId="200"/>
    <cellStyle name="Comma 35" xfId="201"/>
    <cellStyle name="Comma 35 2" xfId="202"/>
    <cellStyle name="Comma 36" xfId="203"/>
    <cellStyle name="Comma 36 2" xfId="204"/>
    <cellStyle name="Comma 37" xfId="205"/>
    <cellStyle name="Comma 38" xfId="206"/>
    <cellStyle name="Comma 39" xfId="207"/>
    <cellStyle name="Comma 4" xfId="208"/>
    <cellStyle name="Comma 40" xfId="209"/>
    <cellStyle name="Comma 41" xfId="210"/>
    <cellStyle name="Comma 42" xfId="211"/>
    <cellStyle name="Comma 42 2" xfId="212"/>
    <cellStyle name="Comma 42 3" xfId="213"/>
    <cellStyle name="Comma 43" xfId="214"/>
    <cellStyle name="Comma 43 2" xfId="215"/>
    <cellStyle name="Comma 43 3" xfId="216"/>
    <cellStyle name="Comma 44" xfId="217"/>
    <cellStyle name="Comma 44 2" xfId="218"/>
    <cellStyle name="Comma 44 3" xfId="219"/>
    <cellStyle name="Comma 44 4" xfId="220"/>
    <cellStyle name="Comma 45" xfId="221"/>
    <cellStyle name="Comma 45 2" xfId="222"/>
    <cellStyle name="Comma 45 3" xfId="223"/>
    <cellStyle name="Comma 45 4" xfId="224"/>
    <cellStyle name="Comma 46" xfId="225"/>
    <cellStyle name="Comma 46 2" xfId="226"/>
    <cellStyle name="Comma 46 3" xfId="227"/>
    <cellStyle name="Comma 46 4" xfId="228"/>
    <cellStyle name="Comma 47" xfId="229"/>
    <cellStyle name="Comma 47 2" xfId="230"/>
    <cellStyle name="Comma 47 3" xfId="231"/>
    <cellStyle name="Comma 47 4" xfId="232"/>
    <cellStyle name="Comma 48" xfId="233"/>
    <cellStyle name="Comma 48 2" xfId="234"/>
    <cellStyle name="Comma 48 3" xfId="235"/>
    <cellStyle name="Comma 48 4" xfId="236"/>
    <cellStyle name="Comma 49" xfId="237"/>
    <cellStyle name="Comma 49 2" xfId="238"/>
    <cellStyle name="Comma 49 3" xfId="239"/>
    <cellStyle name="Comma 49 4" xfId="240"/>
    <cellStyle name="Comma 5" xfId="241"/>
    <cellStyle name="Comma 50" xfId="242"/>
    <cellStyle name="Comma 50 2" xfId="243"/>
    <cellStyle name="Comma 50 3" xfId="244"/>
    <cellStyle name="Comma 50 4" xfId="245"/>
    <cellStyle name="Comma 51" xfId="246"/>
    <cellStyle name="Comma 51 2" xfId="247"/>
    <cellStyle name="Comma 51 3" xfId="248"/>
    <cellStyle name="Comma 51 4" xfId="249"/>
    <cellStyle name="Comma 52" xfId="250"/>
    <cellStyle name="Comma 52 2" xfId="251"/>
    <cellStyle name="Comma 52 3" xfId="252"/>
    <cellStyle name="Comma 52 4" xfId="253"/>
    <cellStyle name="Comma 53" xfId="254"/>
    <cellStyle name="Comma 53 2" xfId="255"/>
    <cellStyle name="Comma 53 3" xfId="256"/>
    <cellStyle name="Comma 53 4" xfId="257"/>
    <cellStyle name="Comma 54" xfId="258"/>
    <cellStyle name="Comma 54 2" xfId="259"/>
    <cellStyle name="Comma 54 3" xfId="260"/>
    <cellStyle name="Comma 54 4" xfId="261"/>
    <cellStyle name="Comma 55" xfId="262"/>
    <cellStyle name="Comma 55 2" xfId="263"/>
    <cellStyle name="Comma 55 3" xfId="264"/>
    <cellStyle name="Comma 55 4" xfId="265"/>
    <cellStyle name="Comma 56" xfId="266"/>
    <cellStyle name="Comma 56 2" xfId="267"/>
    <cellStyle name="Comma 56 3" xfId="268"/>
    <cellStyle name="Comma 56 4" xfId="269"/>
    <cellStyle name="Comma 57" xfId="270"/>
    <cellStyle name="Comma 57 2" xfId="271"/>
    <cellStyle name="Comma 57 3" xfId="272"/>
    <cellStyle name="Comma 57 4" xfId="273"/>
    <cellStyle name="Comma 58" xfId="274"/>
    <cellStyle name="Comma 58 2" xfId="275"/>
    <cellStyle name="Comma 58 3" xfId="276"/>
    <cellStyle name="Comma 58 4" xfId="277"/>
    <cellStyle name="Comma 59" xfId="278"/>
    <cellStyle name="Comma 59 2" xfId="279"/>
    <cellStyle name="Comma 59 3" xfId="280"/>
    <cellStyle name="Comma 59 4" xfId="281"/>
    <cellStyle name="Comma 6" xfId="282"/>
    <cellStyle name="Comma 60" xfId="283"/>
    <cellStyle name="Comma 60 2" xfId="284"/>
    <cellStyle name="Comma 60 3" xfId="285"/>
    <cellStyle name="Comma 60 4" xfId="286"/>
    <cellStyle name="Comma 61" xfId="287"/>
    <cellStyle name="Comma 61 2" xfId="288"/>
    <cellStyle name="Comma 61 3" xfId="289"/>
    <cellStyle name="Comma 61 4" xfId="290"/>
    <cellStyle name="Comma 62" xfId="291"/>
    <cellStyle name="Comma 62 2" xfId="292"/>
    <cellStyle name="Comma 62 3" xfId="293"/>
    <cellStyle name="Comma 62 4" xfId="294"/>
    <cellStyle name="Comma 63" xfId="295"/>
    <cellStyle name="Comma 63 2" xfId="296"/>
    <cellStyle name="Comma 63 3" xfId="297"/>
    <cellStyle name="Comma 63 4" xfId="298"/>
    <cellStyle name="Comma 64" xfId="299"/>
    <cellStyle name="Comma 64 2" xfId="300"/>
    <cellStyle name="Comma 64 3" xfId="301"/>
    <cellStyle name="Comma 64 4" xfId="302"/>
    <cellStyle name="Comma 65" xfId="303"/>
    <cellStyle name="Comma 65 2" xfId="304"/>
    <cellStyle name="Comma 65 3" xfId="305"/>
    <cellStyle name="Comma 65 4" xfId="306"/>
    <cellStyle name="Comma 66" xfId="307"/>
    <cellStyle name="Comma 66 2" xfId="308"/>
    <cellStyle name="Comma 66 2 2" xfId="309"/>
    <cellStyle name="Comma 66 2 3" xfId="310"/>
    <cellStyle name="Comma 66 3" xfId="311"/>
    <cellStyle name="Comma 66 4" xfId="312"/>
    <cellStyle name="Comma 66 5" xfId="313"/>
    <cellStyle name="Comma 67" xfId="314"/>
    <cellStyle name="Comma 67 2" xfId="315"/>
    <cellStyle name="Comma 67 2 2" xfId="316"/>
    <cellStyle name="Comma 67 2 3" xfId="317"/>
    <cellStyle name="Comma 67 3" xfId="318"/>
    <cellStyle name="Comma 67 4" xfId="319"/>
    <cellStyle name="Comma 67 5" xfId="320"/>
    <cellStyle name="Comma 68" xfId="321"/>
    <cellStyle name="Comma 68 2" xfId="322"/>
    <cellStyle name="Comma 69" xfId="323"/>
    <cellStyle name="Comma 69 2" xfId="324"/>
    <cellStyle name="Comma 7" xfId="325"/>
    <cellStyle name="Comma 70" xfId="326"/>
    <cellStyle name="Comma 70 2" xfId="327"/>
    <cellStyle name="Comma 71" xfId="328"/>
    <cellStyle name="Comma 71 2" xfId="329"/>
    <cellStyle name="Comma 72" xfId="330"/>
    <cellStyle name="Comma 72 2" xfId="331"/>
    <cellStyle name="Comma 73" xfId="332"/>
    <cellStyle name="Comma 73 2" xfId="333"/>
    <cellStyle name="Comma 74" xfId="334"/>
    <cellStyle name="Comma 74 2" xfId="335"/>
    <cellStyle name="Comma 75" xfId="336"/>
    <cellStyle name="Comma 75 2" xfId="337"/>
    <cellStyle name="Comma 75 3" xfId="338"/>
    <cellStyle name="Comma 76" xfId="339"/>
    <cellStyle name="Comma 76 2" xfId="340"/>
    <cellStyle name="Comma 76 3" xfId="341"/>
    <cellStyle name="Comma 77" xfId="342"/>
    <cellStyle name="Comma 78" xfId="343"/>
    <cellStyle name="Comma 79" xfId="344"/>
    <cellStyle name="Comma 79 2" xfId="345"/>
    <cellStyle name="Comma 79 3" xfId="346"/>
    <cellStyle name="Comma 8" xfId="347"/>
    <cellStyle name="Comma 80" xfId="348"/>
    <cellStyle name="Comma 80 2" xfId="349"/>
    <cellStyle name="Comma 80 3" xfId="350"/>
    <cellStyle name="Comma 81" xfId="351"/>
    <cellStyle name="Comma 81 2" xfId="352"/>
    <cellStyle name="Comma 81 3" xfId="353"/>
    <cellStyle name="Comma 82" xfId="354"/>
    <cellStyle name="Comma 82 2" xfId="355"/>
    <cellStyle name="Comma 82 3" xfId="356"/>
    <cellStyle name="Comma 83" xfId="357"/>
    <cellStyle name="Comma 83 2" xfId="358"/>
    <cellStyle name="Comma 83 3" xfId="359"/>
    <cellStyle name="Comma 84" xfId="360"/>
    <cellStyle name="Comma 84 2" xfId="361"/>
    <cellStyle name="Comma 84 3" xfId="362"/>
    <cellStyle name="Comma 85" xfId="363"/>
    <cellStyle name="Comma 85 2" xfId="364"/>
    <cellStyle name="Comma 85 3" xfId="365"/>
    <cellStyle name="Comma 86" xfId="366"/>
    <cellStyle name="Comma 86 2" xfId="367"/>
    <cellStyle name="Comma 86 3" xfId="368"/>
    <cellStyle name="Comma 87" xfId="369"/>
    <cellStyle name="Comma 87 2" xfId="370"/>
    <cellStyle name="Comma 87 3" xfId="371"/>
    <cellStyle name="Comma 88" xfId="372"/>
    <cellStyle name="Comma 88 2" xfId="373"/>
    <cellStyle name="Comma 88 3" xfId="374"/>
    <cellStyle name="Comma 88 3 2" xfId="375"/>
    <cellStyle name="Comma 89" xfId="376"/>
    <cellStyle name="Comma 89 2" xfId="377"/>
    <cellStyle name="Comma 89 3" xfId="378"/>
    <cellStyle name="Comma 89 3 2" xfId="379"/>
    <cellStyle name="Comma 9" xfId="380"/>
    <cellStyle name="Comma 90" xfId="381"/>
    <cellStyle name="Comma 90 2" xfId="382"/>
    <cellStyle name="Comma 90 3" xfId="383"/>
    <cellStyle name="Comma 90 3 2" xfId="384"/>
    <cellStyle name="Comma 91" xfId="385"/>
    <cellStyle name="Comma 91 2" xfId="386"/>
    <cellStyle name="Comma 91 3" xfId="387"/>
    <cellStyle name="Comma 91 3 2" xfId="388"/>
    <cellStyle name="Comma 92" xfId="389"/>
    <cellStyle name="Comma 93" xfId="390"/>
    <cellStyle name="Comma 94" xfId="391"/>
    <cellStyle name="Comma 94 2" xfId="392"/>
    <cellStyle name="Comma 95" xfId="393"/>
    <cellStyle name="Comma 95 2" xfId="394"/>
    <cellStyle name="Comma 95 3" xfId="395"/>
    <cellStyle name="Comma 96" xfId="396"/>
    <cellStyle name="Comma 97" xfId="397"/>
    <cellStyle name="Comma 98" xfId="398"/>
    <cellStyle name="Comma 99" xfId="399"/>
    <cellStyle name="Comma 99 2" xfId="400"/>
    <cellStyle name="Comma0" xfId="401"/>
    <cellStyle name="Comma0 2" xfId="402"/>
    <cellStyle name="Currency" xfId="2" builtinId="4"/>
    <cellStyle name="Currency [0] 10" xfId="403"/>
    <cellStyle name="Currency [0] 11" xfId="404"/>
    <cellStyle name="Currency [0] 12" xfId="405"/>
    <cellStyle name="Currency [0] 2" xfId="406"/>
    <cellStyle name="Currency [0] 3" xfId="407"/>
    <cellStyle name="Currency [0] 3 2" xfId="408"/>
    <cellStyle name="Currency [0] 4" xfId="409"/>
    <cellStyle name="Currency [0] 4 2" xfId="410"/>
    <cellStyle name="Currency [0] 5" xfId="411"/>
    <cellStyle name="Currency [0] 5 2" xfId="412"/>
    <cellStyle name="Currency [0] 5 3" xfId="413"/>
    <cellStyle name="Currency [0] 5 4" xfId="414"/>
    <cellStyle name="Currency [0] 5 5" xfId="415"/>
    <cellStyle name="Currency [0] 6" xfId="416"/>
    <cellStyle name="Currency [0] 6 2" xfId="417"/>
    <cellStyle name="Currency [0] 7" xfId="418"/>
    <cellStyle name="Currency [0] 7 2" xfId="419"/>
    <cellStyle name="Currency [0] 7 2 2" xfId="420"/>
    <cellStyle name="Currency [0] 7 2 3" xfId="421"/>
    <cellStyle name="Currency [0] 7 3" xfId="422"/>
    <cellStyle name="Currency [0] 7 4" xfId="423"/>
    <cellStyle name="Currency [0] 8" xfId="424"/>
    <cellStyle name="Currency [0] 8 2" xfId="425"/>
    <cellStyle name="Currency [0] 8 3" xfId="426"/>
    <cellStyle name="Currency [0] 9" xfId="427"/>
    <cellStyle name="Currency 10" xfId="428"/>
    <cellStyle name="Currency 10 2" xfId="429"/>
    <cellStyle name="Currency 11" xfId="430"/>
    <cellStyle name="Currency 12" xfId="431"/>
    <cellStyle name="Currency 13" xfId="432"/>
    <cellStyle name="Currency 14" xfId="433"/>
    <cellStyle name="Currency 15" xfId="434"/>
    <cellStyle name="Currency 16" xfId="435"/>
    <cellStyle name="Currency 17" xfId="436"/>
    <cellStyle name="Currency 18" xfId="437"/>
    <cellStyle name="Currency 19" xfId="438"/>
    <cellStyle name="Currency 2" xfId="439"/>
    <cellStyle name="Currency 2 2" xfId="887"/>
    <cellStyle name="Currency 2 3" xfId="888"/>
    <cellStyle name="Currency 2 4" xfId="889"/>
    <cellStyle name="Currency 20" xfId="440"/>
    <cellStyle name="Currency 21" xfId="441"/>
    <cellStyle name="Currency 22" xfId="442"/>
    <cellStyle name="Currency 23" xfId="443"/>
    <cellStyle name="Currency 24" xfId="444"/>
    <cellStyle name="Currency 24 2" xfId="445"/>
    <cellStyle name="Currency 25" xfId="446"/>
    <cellStyle name="Currency 25 2" xfId="447"/>
    <cellStyle name="Currency 26" xfId="448"/>
    <cellStyle name="Currency 26 2" xfId="449"/>
    <cellStyle name="Currency 27" xfId="450"/>
    <cellStyle name="Currency 27 2" xfId="451"/>
    <cellStyle name="Currency 27 3" xfId="452"/>
    <cellStyle name="Currency 27 4" xfId="453"/>
    <cellStyle name="Currency 28" xfId="454"/>
    <cellStyle name="Currency 28 2" xfId="455"/>
    <cellStyle name="Currency 28 3" xfId="456"/>
    <cellStyle name="Currency 28 4" xfId="457"/>
    <cellStyle name="Currency 29" xfId="458"/>
    <cellStyle name="Currency 29 2" xfId="459"/>
    <cellStyle name="Currency 29 3" xfId="460"/>
    <cellStyle name="Currency 29 4" xfId="461"/>
    <cellStyle name="Currency 3" xfId="462"/>
    <cellStyle name="Currency 30" xfId="463"/>
    <cellStyle name="Currency 30 2" xfId="464"/>
    <cellStyle name="Currency 31" xfId="465"/>
    <cellStyle name="Currency 32" xfId="466"/>
    <cellStyle name="Currency 32 2" xfId="467"/>
    <cellStyle name="Currency 33" xfId="468"/>
    <cellStyle name="Currency 33 2" xfId="469"/>
    <cellStyle name="Currency 34" xfId="470"/>
    <cellStyle name="Currency 34 2" xfId="471"/>
    <cellStyle name="Currency 35" xfId="472"/>
    <cellStyle name="Currency 35 2" xfId="473"/>
    <cellStyle name="Currency 36" xfId="474"/>
    <cellStyle name="Currency 37" xfId="475"/>
    <cellStyle name="Currency 37 2" xfId="476"/>
    <cellStyle name="Currency 38" xfId="477"/>
    <cellStyle name="Currency 38 2" xfId="478"/>
    <cellStyle name="Currency 39" xfId="479"/>
    <cellStyle name="Currency 4" xfId="480"/>
    <cellStyle name="Currency 40" xfId="481"/>
    <cellStyle name="Currency 40 2" xfId="482"/>
    <cellStyle name="Currency 41" xfId="483"/>
    <cellStyle name="Currency 41 2" xfId="484"/>
    <cellStyle name="Currency 42" xfId="485"/>
    <cellStyle name="Currency 42 2" xfId="486"/>
    <cellStyle name="Currency 43" xfId="487"/>
    <cellStyle name="Currency 43 2" xfId="488"/>
    <cellStyle name="Currency 44" xfId="489"/>
    <cellStyle name="Currency 44 2" xfId="490"/>
    <cellStyle name="Currency 45" xfId="491"/>
    <cellStyle name="Currency 45 2" xfId="492"/>
    <cellStyle name="Currency 46" xfId="493"/>
    <cellStyle name="Currency 46 2" xfId="494"/>
    <cellStyle name="Currency 47" xfId="495"/>
    <cellStyle name="Currency 47 2" xfId="496"/>
    <cellStyle name="Currency 48" xfId="497"/>
    <cellStyle name="Currency 48 2" xfId="498"/>
    <cellStyle name="Currency 49" xfId="499"/>
    <cellStyle name="Currency 49 2" xfId="500"/>
    <cellStyle name="Currency 5" xfId="501"/>
    <cellStyle name="Currency 50" xfId="502"/>
    <cellStyle name="Currency 50 2" xfId="503"/>
    <cellStyle name="Currency 51" xfId="504"/>
    <cellStyle name="Currency 51 2" xfId="505"/>
    <cellStyle name="Currency 52" xfId="506"/>
    <cellStyle name="Currency 52 2" xfId="507"/>
    <cellStyle name="Currency 53" xfId="508"/>
    <cellStyle name="Currency 53 2" xfId="509"/>
    <cellStyle name="Currency 53 2 2" xfId="510"/>
    <cellStyle name="Currency 53 2 3" xfId="511"/>
    <cellStyle name="Currency 53 3" xfId="512"/>
    <cellStyle name="Currency 54" xfId="513"/>
    <cellStyle name="Currency 54 2" xfId="514"/>
    <cellStyle name="Currency 54 2 2" xfId="515"/>
    <cellStyle name="Currency 54 2 3" xfId="516"/>
    <cellStyle name="Currency 54 3" xfId="517"/>
    <cellStyle name="Currency 55" xfId="518"/>
    <cellStyle name="Currency 56" xfId="519"/>
    <cellStyle name="Currency 57" xfId="520"/>
    <cellStyle name="Currency 58" xfId="521"/>
    <cellStyle name="Currency 59" xfId="522"/>
    <cellStyle name="Currency 6" xfId="523"/>
    <cellStyle name="Currency 60" xfId="524"/>
    <cellStyle name="Currency 61" xfId="525"/>
    <cellStyle name="Currency 62" xfId="526"/>
    <cellStyle name="Currency 63" xfId="527"/>
    <cellStyle name="Currency 64" xfId="528"/>
    <cellStyle name="Currency 64 2" xfId="529"/>
    <cellStyle name="Currency 64 3" xfId="530"/>
    <cellStyle name="Currency 65" xfId="531"/>
    <cellStyle name="Currency 65 2" xfId="532"/>
    <cellStyle name="Currency 65 3" xfId="533"/>
    <cellStyle name="Currency 66" xfId="534"/>
    <cellStyle name="Currency 67" xfId="535"/>
    <cellStyle name="Currency 68" xfId="536"/>
    <cellStyle name="Currency 68 2" xfId="537"/>
    <cellStyle name="Currency 68 3" xfId="538"/>
    <cellStyle name="Currency 69" xfId="539"/>
    <cellStyle name="Currency 69 2" xfId="540"/>
    <cellStyle name="Currency 69 3" xfId="541"/>
    <cellStyle name="Currency 7" xfId="542"/>
    <cellStyle name="Currency 70" xfId="543"/>
    <cellStyle name="Currency 70 2" xfId="544"/>
    <cellStyle name="Currency 70 3" xfId="545"/>
    <cellStyle name="Currency 71" xfId="546"/>
    <cellStyle name="Currency 71 2" xfId="547"/>
    <cellStyle name="Currency 71 3" xfId="548"/>
    <cellStyle name="Currency 72" xfId="549"/>
    <cellStyle name="Currency 72 2" xfId="550"/>
    <cellStyle name="Currency 72 3" xfId="551"/>
    <cellStyle name="Currency 73" xfId="552"/>
    <cellStyle name="Currency 73 2" xfId="553"/>
    <cellStyle name="Currency 73 3" xfId="554"/>
    <cellStyle name="Currency 74" xfId="555"/>
    <cellStyle name="Currency 74 2" xfId="556"/>
    <cellStyle name="Currency 74 3" xfId="557"/>
    <cellStyle name="Currency 75" xfId="558"/>
    <cellStyle name="Currency 75 2" xfId="559"/>
    <cellStyle name="Currency 75 3" xfId="560"/>
    <cellStyle name="Currency 76" xfId="561"/>
    <cellStyle name="Currency 76 2" xfId="562"/>
    <cellStyle name="Currency 76 3" xfId="563"/>
    <cellStyle name="Currency 77" xfId="564"/>
    <cellStyle name="Currency 77 2" xfId="565"/>
    <cellStyle name="Currency 77 3" xfId="566"/>
    <cellStyle name="Currency 77 3 2" xfId="567"/>
    <cellStyle name="Currency 78" xfId="568"/>
    <cellStyle name="Currency 78 2" xfId="569"/>
    <cellStyle name="Currency 78 3" xfId="570"/>
    <cellStyle name="Currency 78 3 2" xfId="571"/>
    <cellStyle name="Currency 79" xfId="572"/>
    <cellStyle name="Currency 79 2" xfId="573"/>
    <cellStyle name="Currency 79 3" xfId="574"/>
    <cellStyle name="Currency 79 3 2" xfId="575"/>
    <cellStyle name="Currency 8" xfId="576"/>
    <cellStyle name="Currency 80" xfId="577"/>
    <cellStyle name="Currency 80 2" xfId="578"/>
    <cellStyle name="Currency 80 3" xfId="579"/>
    <cellStyle name="Currency 80 3 2" xfId="580"/>
    <cellStyle name="Currency 81" xfId="581"/>
    <cellStyle name="Currency 82" xfId="582"/>
    <cellStyle name="Currency 83" xfId="583"/>
    <cellStyle name="Currency 83 2" xfId="584"/>
    <cellStyle name="Currency 84" xfId="585"/>
    <cellStyle name="Currency 84 2" xfId="586"/>
    <cellStyle name="Currency 84 3" xfId="587"/>
    <cellStyle name="Currency 85" xfId="588"/>
    <cellStyle name="Currency 86" xfId="589"/>
    <cellStyle name="Currency 87" xfId="590"/>
    <cellStyle name="Currency 88" xfId="591"/>
    <cellStyle name="Currency 89" xfId="592"/>
    <cellStyle name="Currency 9" xfId="593"/>
    <cellStyle name="Currency 90" xfId="594"/>
    <cellStyle name="Currency 91" xfId="595"/>
    <cellStyle name="Currency 92" xfId="596"/>
    <cellStyle name="Currency 93" xfId="597"/>
    <cellStyle name="Currency0" xfId="598"/>
    <cellStyle name="Currency0 2" xfId="599"/>
    <cellStyle name="Date" xfId="600"/>
    <cellStyle name="Date 2" xfId="601"/>
    <cellStyle name="ds" xfId="602"/>
    <cellStyle name="Explanatory Text" xfId="19" builtinId="53" customBuiltin="1"/>
    <cellStyle name="Explanatory Text 2" xfId="603"/>
    <cellStyle name="Explanatory Text 2 2" xfId="604"/>
    <cellStyle name="Explanatory Text 2 2 2" xfId="890"/>
    <cellStyle name="Explanatory Text 2 3" xfId="891"/>
    <cellStyle name="Explanatory Text 2 3 2" xfId="892"/>
    <cellStyle name="Explanatory Text 2 4" xfId="893"/>
    <cellStyle name="Explanatory Text 3" xfId="605"/>
    <cellStyle name="Explanatory Text 3 2" xfId="894"/>
    <cellStyle name="F3" xfId="606"/>
    <cellStyle name="F4" xfId="607"/>
    <cellStyle name="F5" xfId="608"/>
    <cellStyle name="Fixed" xfId="609"/>
    <cellStyle name="Fixed 2" xfId="610"/>
    <cellStyle name="Followed Hyperlink 2" xfId="895"/>
    <cellStyle name="Good" xfId="9" builtinId="26" customBuiltin="1"/>
    <cellStyle name="Good 2" xfId="611"/>
    <cellStyle name="Good 2 2" xfId="612"/>
    <cellStyle name="Good 2 2 2" xfId="896"/>
    <cellStyle name="Good 2 3" xfId="897"/>
    <cellStyle name="Good 2 3 2" xfId="898"/>
    <cellStyle name="Good 2 4" xfId="899"/>
    <cellStyle name="Good 3" xfId="613"/>
    <cellStyle name="Good 3 2" xfId="900"/>
    <cellStyle name="Heading 1" xfId="5" builtinId="16" customBuiltin="1"/>
    <cellStyle name="Heading 1 2" xfId="614"/>
    <cellStyle name="Heading 1 2 2" xfId="615"/>
    <cellStyle name="Heading 1 2 2 2" xfId="901"/>
    <cellStyle name="Heading 1 2 3" xfId="902"/>
    <cellStyle name="Heading 1 2 3 2" xfId="903"/>
    <cellStyle name="Heading 1 2 4" xfId="904"/>
    <cellStyle name="Heading 1 3" xfId="616"/>
    <cellStyle name="Heading 1 3 2" xfId="905"/>
    <cellStyle name="Heading 2" xfId="6" builtinId="17" customBuiltin="1"/>
    <cellStyle name="Heading 2 2" xfId="617"/>
    <cellStyle name="Heading 2 2 2" xfId="618"/>
    <cellStyle name="Heading 2 2 2 2" xfId="906"/>
    <cellStyle name="Heading 2 2 3" xfId="619"/>
    <cellStyle name="Heading 2 2 3 2" xfId="907"/>
    <cellStyle name="Heading 2 2 4" xfId="908"/>
    <cellStyle name="Heading 2 3" xfId="620"/>
    <cellStyle name="Heading 2 3 2" xfId="909"/>
    <cellStyle name="Heading 3" xfId="7" builtinId="18" customBuiltin="1"/>
    <cellStyle name="Heading 3 2" xfId="621"/>
    <cellStyle name="Heading 3 2 2" xfId="622"/>
    <cellStyle name="Heading 3 2 2 2" xfId="910"/>
    <cellStyle name="Heading 3 2 3" xfId="911"/>
    <cellStyle name="Heading 3 2 3 2" xfId="912"/>
    <cellStyle name="Heading 3 2 4" xfId="913"/>
    <cellStyle name="Heading 3 2 5" xfId="1562"/>
    <cellStyle name="Heading 3 3" xfId="623"/>
    <cellStyle name="Heading 3 3 2" xfId="914"/>
    <cellStyle name="Heading 4" xfId="8" builtinId="19" customBuiltin="1"/>
    <cellStyle name="Heading 4 2" xfId="624"/>
    <cellStyle name="Heading 4 2 2" xfId="625"/>
    <cellStyle name="Heading 4 2 2 2" xfId="915"/>
    <cellStyle name="Heading 4 2 3" xfId="916"/>
    <cellStyle name="Heading 4 2 3 2" xfId="917"/>
    <cellStyle name="Heading 4 2 4" xfId="918"/>
    <cellStyle name="Heading 4 3" xfId="626"/>
    <cellStyle name="Heading 4 3 2" xfId="919"/>
    <cellStyle name="Hyperlink 2" xfId="627"/>
    <cellStyle name="Hyperlink 3" xfId="628"/>
    <cellStyle name="Input" xfId="12" builtinId="20" customBuiltin="1"/>
    <cellStyle name="Input 2" xfId="629"/>
    <cellStyle name="Input 2 2" xfId="630"/>
    <cellStyle name="Input 2 2 2" xfId="920"/>
    <cellStyle name="Input 2 3" xfId="921"/>
    <cellStyle name="Input 2 3 2" xfId="922"/>
    <cellStyle name="Input 2 3 2 2" xfId="923"/>
    <cellStyle name="Input 2 3 3" xfId="924"/>
    <cellStyle name="Input 2 3 3 2" xfId="925"/>
    <cellStyle name="Input 2 3 4" xfId="926"/>
    <cellStyle name="Input 2 4" xfId="927"/>
    <cellStyle name="Input 2 4 2" xfId="928"/>
    <cellStyle name="Input 2 5" xfId="929"/>
    <cellStyle name="Input 2 5 2" xfId="930"/>
    <cellStyle name="Input 2 6" xfId="931"/>
    <cellStyle name="Input 3" xfId="631"/>
    <cellStyle name="Input 3 2" xfId="932"/>
    <cellStyle name="Linked Cell" xfId="15" builtinId="24" customBuiltin="1"/>
    <cellStyle name="Linked Cell 2" xfId="632"/>
    <cellStyle name="Linked Cell 2 2" xfId="633"/>
    <cellStyle name="Linked Cell 2 2 2" xfId="933"/>
    <cellStyle name="Linked Cell 2 3" xfId="934"/>
    <cellStyle name="Linked Cell 2 3 2" xfId="935"/>
    <cellStyle name="Linked Cell 2 4" xfId="936"/>
    <cellStyle name="Linked Cell 3" xfId="634"/>
    <cellStyle name="Linked Cell 3 2" xfId="937"/>
    <cellStyle name="Neutral" xfId="11" builtinId="28" customBuiltin="1"/>
    <cellStyle name="Neutral 2" xfId="635"/>
    <cellStyle name="Neutral 2 2" xfId="636"/>
    <cellStyle name="Neutral 2 2 2" xfId="938"/>
    <cellStyle name="Neutral 2 3" xfId="939"/>
    <cellStyle name="Neutral 2 3 2" xfId="940"/>
    <cellStyle name="Neutral 2 4" xfId="941"/>
    <cellStyle name="Neutral 3" xfId="637"/>
    <cellStyle name="Neutral 3 2" xfId="942"/>
    <cellStyle name="Normal" xfId="0" builtinId="0"/>
    <cellStyle name="Normal 10" xfId="943"/>
    <cellStyle name="Normal 10 2" xfId="713"/>
    <cellStyle name="Normal 11" xfId="944"/>
    <cellStyle name="Normal 11 2" xfId="945"/>
    <cellStyle name="Normal 12" xfId="946"/>
    <cellStyle name="Normal 13" xfId="947"/>
    <cellStyle name="Normal 13 2" xfId="948"/>
    <cellStyle name="Normal 14" xfId="949"/>
    <cellStyle name="Normal 14 2" xfId="950"/>
    <cellStyle name="Normal 14 2 2" xfId="951"/>
    <cellStyle name="Normal 14 3" xfId="952"/>
    <cellStyle name="Normal 15" xfId="953"/>
    <cellStyle name="Normal 16" xfId="954"/>
    <cellStyle name="Normal 17" xfId="955"/>
    <cellStyle name="Normal 18" xfId="956"/>
    <cellStyle name="Normal 19" xfId="957"/>
    <cellStyle name="Normal 2" xfId="45"/>
    <cellStyle name="Normal 2 2" xfId="639"/>
    <cellStyle name="Normal 2 2 2" xfId="640"/>
    <cellStyle name="Normal 2 2 3" xfId="641"/>
    <cellStyle name="Normal 2 3" xfId="642"/>
    <cellStyle name="Normal 2 3 2" xfId="643"/>
    <cellStyle name="Normal 2 4" xfId="638"/>
    <cellStyle name="Normal 2 5" xfId="958"/>
    <cellStyle name="Normal 2 6" xfId="959"/>
    <cellStyle name="Normal 2 7" xfId="960"/>
    <cellStyle name="Normal 2 8" xfId="712"/>
    <cellStyle name="Normal 2 9" xfId="961"/>
    <cellStyle name="Normal 20" xfId="962"/>
    <cellStyle name="Normal 21" xfId="963"/>
    <cellStyle name="Normal 22" xfId="964"/>
    <cellStyle name="Normal 23" xfId="965"/>
    <cellStyle name="Normal 24" xfId="966"/>
    <cellStyle name="Normal 25" xfId="967"/>
    <cellStyle name="Normal 26" xfId="968"/>
    <cellStyle name="Normal 27" xfId="969"/>
    <cellStyle name="Normal 28" xfId="970"/>
    <cellStyle name="Normal 29" xfId="971"/>
    <cellStyle name="Normal 3" xfId="644"/>
    <cellStyle name="Normal 3 2" xfId="645"/>
    <cellStyle name="Normal 3 2 2" xfId="710"/>
    <cellStyle name="Normal 3 2 2 2" xfId="1563"/>
    <cellStyle name="Normal 3 3" xfId="972"/>
    <cellStyle name="Normal 3 4" xfId="973"/>
    <cellStyle name="Normal 30" xfId="974"/>
    <cellStyle name="Normal 31" xfId="975"/>
    <cellStyle name="Normal 32" xfId="976"/>
    <cellStyle name="Normal 33" xfId="977"/>
    <cellStyle name="Normal 34" xfId="978"/>
    <cellStyle name="Normal 35" xfId="979"/>
    <cellStyle name="Normal 36" xfId="980"/>
    <cellStyle name="Normal 37" xfId="981"/>
    <cellStyle name="Normal 38" xfId="982"/>
    <cellStyle name="Normal 39" xfId="983"/>
    <cellStyle name="Normal 4" xfId="646"/>
    <cellStyle name="Normal 4 2" xfId="647"/>
    <cellStyle name="Normal 4 2 2" xfId="984"/>
    <cellStyle name="Normal 4 3" xfId="985"/>
    <cellStyle name="Normal 4 4" xfId="986"/>
    <cellStyle name="Normal 4 5" xfId="987"/>
    <cellStyle name="Normal 40" xfId="988"/>
    <cellStyle name="Normal 41" xfId="989"/>
    <cellStyle name="Normal 42" xfId="990"/>
    <cellStyle name="Normal 43" xfId="991"/>
    <cellStyle name="Normal 44" xfId="992"/>
    <cellStyle name="Normal 45" xfId="993"/>
    <cellStyle name="Normal 46" xfId="994"/>
    <cellStyle name="Normal 47" xfId="995"/>
    <cellStyle name="Normal 48" xfId="996"/>
    <cellStyle name="Normal 49" xfId="997"/>
    <cellStyle name="Normal 5" xfId="648"/>
    <cellStyle name="Normal 5 2" xfId="649"/>
    <cellStyle name="Normal 5 2 2" xfId="998"/>
    <cellStyle name="Normal 5 3" xfId="650"/>
    <cellStyle name="Normal 5 4" xfId="999"/>
    <cellStyle name="Normal 5 5" xfId="1000"/>
    <cellStyle name="Normal 5 6" xfId="1001"/>
    <cellStyle name="Normal 50" xfId="1002"/>
    <cellStyle name="Normal 6" xfId="651"/>
    <cellStyle name="Normal 6 2" xfId="652"/>
    <cellStyle name="Normal 6 2 2" xfId="1003"/>
    <cellStyle name="Normal 6 3" xfId="1004"/>
    <cellStyle name="Normal 6 4" xfId="1005"/>
    <cellStyle name="Normal 6 5" xfId="1006"/>
    <cellStyle name="Normal 7" xfId="653"/>
    <cellStyle name="Normal 7 2" xfId="1007"/>
    <cellStyle name="Normal 7 2 2" xfId="1008"/>
    <cellStyle name="Normal 7 3" xfId="1009"/>
    <cellStyle name="Normal 7 3 2" xfId="1522"/>
    <cellStyle name="Normal 7 4" xfId="1010"/>
    <cellStyle name="Normal 8" xfId="654"/>
    <cellStyle name="Normal 8 2" xfId="1011"/>
    <cellStyle name="Normal 8 2 2" xfId="1012"/>
    <cellStyle name="Normal 8 3" xfId="1013"/>
    <cellStyle name="Normal 9" xfId="655"/>
    <cellStyle name="Normal 9 2" xfId="1523"/>
    <cellStyle name="Normal 9 2 2" xfId="1524"/>
    <cellStyle name="Normal 9 3" xfId="1525"/>
    <cellStyle name="Note" xfId="18" builtinId="10" customBuiltin="1"/>
    <cellStyle name="Note 10" xfId="1526"/>
    <cellStyle name="Note 10 2" xfId="1527"/>
    <cellStyle name="Note 10 2 2" xfId="1528"/>
    <cellStyle name="Note 10 3" xfId="1529"/>
    <cellStyle name="Note 11" xfId="1530"/>
    <cellStyle name="Note 11 2" xfId="1531"/>
    <cellStyle name="Note 12" xfId="1532"/>
    <cellStyle name="Note 13" xfId="1533"/>
    <cellStyle name="Note 14" xfId="1534"/>
    <cellStyle name="Note 15" xfId="1535"/>
    <cellStyle name="Note 16" xfId="1536"/>
    <cellStyle name="Note 17" xfId="1537"/>
    <cellStyle name="Note 2" xfId="656"/>
    <cellStyle name="Note 2 2" xfId="657"/>
    <cellStyle name="Note 2 2 2" xfId="1014"/>
    <cellStyle name="Note 2 2 2 2" xfId="1538"/>
    <cellStyle name="Note 2 2 3" xfId="1539"/>
    <cellStyle name="Note 2 3" xfId="1015"/>
    <cellStyle name="Note 2 3 2" xfId="1016"/>
    <cellStyle name="Note 2 4" xfId="1017"/>
    <cellStyle name="Note 3" xfId="658"/>
    <cellStyle name="Note 3 2" xfId="1018"/>
    <cellStyle name="Note 3 2 2" xfId="1019"/>
    <cellStyle name="Note 3 2 2 2" xfId="1020"/>
    <cellStyle name="Note 3 2 3" xfId="1021"/>
    <cellStyle name="Note 3 2 3 2" xfId="1022"/>
    <cellStyle name="Note 3 2 4" xfId="1023"/>
    <cellStyle name="Note 3 3" xfId="1024"/>
    <cellStyle name="Note 3 3 2" xfId="1025"/>
    <cellStyle name="Note 3 4" xfId="1026"/>
    <cellStyle name="Note 3 4 2" xfId="1027"/>
    <cellStyle name="Note 3 5" xfId="1028"/>
    <cellStyle name="Note 4" xfId="1029"/>
    <cellStyle name="Note 4 2" xfId="1030"/>
    <cellStyle name="Note 4 2 2" xfId="1540"/>
    <cellStyle name="Note 4 3" xfId="1541"/>
    <cellStyle name="Note 5" xfId="1031"/>
    <cellStyle name="Note 5 2" xfId="1542"/>
    <cellStyle name="Note 5 2 2" xfId="1543"/>
    <cellStyle name="Note 5 3" xfId="1544"/>
    <cellStyle name="Note 6" xfId="1545"/>
    <cellStyle name="Note 6 2" xfId="1546"/>
    <cellStyle name="Note 6 2 2" xfId="1547"/>
    <cellStyle name="Note 6 3" xfId="1548"/>
    <cellStyle name="Note 7" xfId="1549"/>
    <cellStyle name="Note 7 2" xfId="1550"/>
    <cellStyle name="Note 7 2 2" xfId="1551"/>
    <cellStyle name="Note 7 3" xfId="1552"/>
    <cellStyle name="Note 8" xfId="1553"/>
    <cellStyle name="Note 8 2" xfId="1554"/>
    <cellStyle name="Note 8 2 2" xfId="1555"/>
    <cellStyle name="Note 8 3" xfId="1556"/>
    <cellStyle name="Note 9" xfId="1557"/>
    <cellStyle name="Note 9 2" xfId="1558"/>
    <cellStyle name="Note 9 2 2" xfId="1559"/>
    <cellStyle name="Note 9 3" xfId="1560"/>
    <cellStyle name="NUM" xfId="659"/>
    <cellStyle name="NUM 2" xfId="660"/>
    <cellStyle name="Output" xfId="13" builtinId="21" customBuiltin="1"/>
    <cellStyle name="Output 2" xfId="661"/>
    <cellStyle name="Output 2 2" xfId="662"/>
    <cellStyle name="Output 2 2 2" xfId="1032"/>
    <cellStyle name="Output 2 3" xfId="1033"/>
    <cellStyle name="Output 2 3 2" xfId="1034"/>
    <cellStyle name="Output 2 3 3" xfId="1035"/>
    <cellStyle name="Output 2 3 4" xfId="1036"/>
    <cellStyle name="Output 2 4" xfId="1037"/>
    <cellStyle name="Output 2 4 2" xfId="1038"/>
    <cellStyle name="Output 2 5" xfId="1039"/>
    <cellStyle name="Output 2 6" xfId="1040"/>
    <cellStyle name="Output 2 7" xfId="1041"/>
    <cellStyle name="Output 3" xfId="663"/>
    <cellStyle name="Output 3 2" xfId="1042"/>
    <cellStyle name="Percent" xfId="3" builtinId="5"/>
    <cellStyle name="Percent 10" xfId="664"/>
    <cellStyle name="Percent 11" xfId="665"/>
    <cellStyle name="Percent 12" xfId="666"/>
    <cellStyle name="Percent 13" xfId="667"/>
    <cellStyle name="Percent 2" xfId="668"/>
    <cellStyle name="Percent 2 2" xfId="669"/>
    <cellStyle name="Percent 2 2 2" xfId="1561"/>
    <cellStyle name="Percent 2 3" xfId="670"/>
    <cellStyle name="Percent 2 4" xfId="671"/>
    <cellStyle name="Percent 3" xfId="672"/>
    <cellStyle name="Percent 3 2" xfId="673"/>
    <cellStyle name="Percent 3 2 2" xfId="674"/>
    <cellStyle name="Percent 3 3" xfId="675"/>
    <cellStyle name="Percent 3 4" xfId="676"/>
    <cellStyle name="Percent 3 5" xfId="677"/>
    <cellStyle name="Percent 3 6" xfId="711"/>
    <cellStyle name="Percent 4" xfId="678"/>
    <cellStyle name="Percent 4 2" xfId="679"/>
    <cellStyle name="Percent 5" xfId="680"/>
    <cellStyle name="Percent 5 2" xfId="681"/>
    <cellStyle name="Percent 5 3" xfId="682"/>
    <cellStyle name="Percent 5 4" xfId="683"/>
    <cellStyle name="Percent 5 5" xfId="684"/>
    <cellStyle name="Percent 6" xfId="685"/>
    <cellStyle name="Percent 6 2" xfId="686"/>
    <cellStyle name="Percent 6 3" xfId="687"/>
    <cellStyle name="Percent 6 4" xfId="688"/>
    <cellStyle name="Percent 7" xfId="689"/>
    <cellStyle name="Percent 7 2" xfId="690"/>
    <cellStyle name="Percent 7 2 2" xfId="691"/>
    <cellStyle name="Percent 7 2 3" xfId="692"/>
    <cellStyle name="Percent 7 3" xfId="693"/>
    <cellStyle name="Percent 7 4" xfId="694"/>
    <cellStyle name="Percent 8" xfId="695"/>
    <cellStyle name="Percent 8 2" xfId="696"/>
    <cellStyle name="Percent 8 3" xfId="697"/>
    <cellStyle name="Percent 9" xfId="698"/>
    <cellStyle name="Percent 9 2" xfId="699"/>
    <cellStyle name="Percent 9 3" xfId="700"/>
    <cellStyle name="Pivot Style Medium 13" xfId="1043"/>
    <cellStyle name="Title" xfId="4" builtinId="15" customBuiltin="1"/>
    <cellStyle name="Title 2" xfId="701"/>
    <cellStyle name="Title 2 2" xfId="702"/>
    <cellStyle name="Title 2 2 2" xfId="1044"/>
    <cellStyle name="Title 2 3" xfId="1045"/>
    <cellStyle name="Title 2 4" xfId="1046"/>
    <cellStyle name="Title 3" xfId="1047"/>
    <cellStyle name="Title 3 2" xfId="1048"/>
    <cellStyle name="Total" xfId="20" builtinId="25" customBuiltin="1"/>
    <cellStyle name="Total 2" xfId="703"/>
    <cellStyle name="Total 2 2" xfId="704"/>
    <cellStyle name="Total 2 2 2" xfId="1049"/>
    <cellStyle name="Total 2 3" xfId="705"/>
    <cellStyle name="Total 2 3 2" xfId="1050"/>
    <cellStyle name="Total 2 3 3" xfId="1051"/>
    <cellStyle name="Total 2 3 4" xfId="1052"/>
    <cellStyle name="Total 2 4" xfId="1053"/>
    <cellStyle name="Total 2 4 2" xfId="1054"/>
    <cellStyle name="Total 2 5" xfId="1055"/>
    <cellStyle name="Total 2 6" xfId="1056"/>
    <cellStyle name="Total 2 7" xfId="1057"/>
    <cellStyle name="Total 3" xfId="706"/>
    <cellStyle name="Total 3 2" xfId="1058"/>
    <cellStyle name="Warning Text" xfId="17" builtinId="11" customBuiltin="1"/>
    <cellStyle name="Warning Text 2" xfId="707"/>
    <cellStyle name="Warning Text 2 2" xfId="708"/>
    <cellStyle name="Warning Text 2 2 2" xfId="1059"/>
    <cellStyle name="Warning Text 2 3" xfId="1060"/>
    <cellStyle name="Warning Text 2 3 2" xfId="1061"/>
    <cellStyle name="Warning Text 2 4" xfId="1062"/>
    <cellStyle name="Warning Text 3" xfId="709"/>
    <cellStyle name="Warning Text 3 2" xfId="10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lity\CMS%20Readmission\EID\CY2014\TABLES\Readmission%20Reduction%20Progam%20Jan-October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lity\MHAC\New%20MHAC%20Methodology\CY2013\Tables\MHAC%20Scaling%20Options_v14%20MH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aiver%20Modeling/Workgroups/Performance%20Measurement/Meeting%20Materials/Apr%202%20Mtg/MHAC%20Scaling%20Options_v11%20FINAL%20NUMBE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MS%20Compliance%20File/Aggregate%20Revenue%20At%20Risk/20141125%20Counter%20Proposal/Revenue%20at%20Risk%20Calculation%20Summary%2020141125%20(AS%20modified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ver Sheet"/>
      <sheetName val="2. CY2013 BASE READMISSIONS"/>
      <sheetName val="3. CY2013 vs PERFORMANCE PERIOD"/>
      <sheetName val="4. Norms"/>
      <sheetName val="5. Data Dictionary"/>
    </sheetNames>
    <sheetDataSet>
      <sheetData sheetId="0" refreshError="1"/>
      <sheetData sheetId="1" refreshError="1">
        <row r="51">
          <cell r="E51">
            <v>0.12501986409778856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Scaling Parameters"/>
      <sheetName val="1.Payment Scale-"/>
      <sheetName val="2.Scaling"/>
      <sheetName val="Detailed Payment Scale"/>
      <sheetName val="Inpatient Revenue"/>
    </sheetNames>
    <sheetDataSet>
      <sheetData sheetId="0">
        <row r="5">
          <cell r="C5">
            <v>0.51</v>
          </cell>
        </row>
        <row r="6">
          <cell r="C6">
            <v>0.46</v>
          </cell>
        </row>
      </sheetData>
      <sheetData sheetId="1">
        <row r="5">
          <cell r="D5">
            <v>-0.01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Scaling Parameters"/>
      <sheetName val="1.Payment Scale-"/>
      <sheetName val="2.Scaling"/>
      <sheetName val="Inpatient Revenue"/>
    </sheetNames>
    <sheetDataSet>
      <sheetData sheetId="0" refreshError="1">
        <row r="5">
          <cell r="E5">
            <v>-5.0000000000000001E-3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Summary"/>
      <sheetName val="MD data--&gt;"/>
      <sheetName val="MD Consolidated SFY 15"/>
      <sheetName val="MD Consolidated SFY 14"/>
      <sheetName val="6.GBR Efficiency Adjustments"/>
      <sheetName val="7.Hospital PAU Percents"/>
      <sheetName val="MD Rev RY2015 Scaling - MHAC"/>
      <sheetName val="MD Rev RY2014 Scaling - MHAC"/>
      <sheetName val="MHAC_FY2015 BaseYearModeling"/>
      <sheetName val="MD FY 15 Scaling Readmits"/>
      <sheetName val="MD FY 14 Scaling Readmits"/>
      <sheetName val="QBR RY 15"/>
      <sheetName val="MD RY 14 QBR Scaling"/>
      <sheetName val="National CMS data--&gt;"/>
      <sheetName val="impact_puf15 (final)"/>
      <sheetName val="FY 15 CMS Readmissions"/>
      <sheetName val="FY15 HAC"/>
      <sheetName val="impact_puf14_CN_IFC (final)"/>
      <sheetName val="FY14 CMS Readmissions"/>
    </sheetNames>
    <sheetDataSet>
      <sheetData sheetId="0">
        <row r="22">
          <cell r="M22" t="str">
            <v>% IP Rev</v>
          </cell>
          <cell r="N22">
            <v>2014</v>
          </cell>
          <cell r="O22">
            <v>2015</v>
          </cell>
          <cell r="P22">
            <v>2016</v>
          </cell>
          <cell r="Q22">
            <v>2017</v>
          </cell>
          <cell r="R22">
            <v>2018</v>
          </cell>
        </row>
        <row r="23">
          <cell r="M23" t="str">
            <v>HAC</v>
          </cell>
          <cell r="N23">
            <v>0</v>
          </cell>
          <cell r="O23">
            <v>0.01</v>
          </cell>
          <cell r="P23">
            <v>0.01</v>
          </cell>
          <cell r="Q23">
            <v>0.01</v>
          </cell>
          <cell r="R23" t="str">
            <v>tbd</v>
          </cell>
        </row>
        <row r="24">
          <cell r="M24" t="str">
            <v>Readmits</v>
          </cell>
          <cell r="N24">
            <v>0.02</v>
          </cell>
          <cell r="O24">
            <v>0.03</v>
          </cell>
          <cell r="P24">
            <v>0.03</v>
          </cell>
          <cell r="Q24">
            <v>0.03</v>
          </cell>
          <cell r="R24" t="str">
            <v>tbd</v>
          </cell>
        </row>
        <row r="25">
          <cell r="M25" t="str">
            <v>VBP</v>
          </cell>
          <cell r="N25">
            <v>1.2500000000000001E-2</v>
          </cell>
          <cell r="O25">
            <v>1.4999999999999999E-2</v>
          </cell>
          <cell r="P25">
            <v>1.7500000000000002E-2</v>
          </cell>
          <cell r="Q25">
            <v>0.02</v>
          </cell>
          <cell r="R25" t="str">
            <v>tbd</v>
          </cell>
        </row>
        <row r="26">
          <cell r="M26" t="str">
            <v>Sum</v>
          </cell>
          <cell r="N26">
            <v>3.2500000000000001E-2</v>
          </cell>
          <cell r="O26">
            <v>5.5E-2</v>
          </cell>
          <cell r="P26">
            <v>5.7500000000000002E-2</v>
          </cell>
          <cell r="Q26">
            <v>0.06</v>
          </cell>
          <cell r="R2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topLeftCell="A10" workbookViewId="0">
      <selection activeCell="E15" sqref="E15"/>
    </sheetView>
  </sheetViews>
  <sheetFormatPr defaultColWidth="8.88671875" defaultRowHeight="14.4"/>
  <cols>
    <col min="1" max="1" width="16" style="128" customWidth="1"/>
    <col min="2" max="2" width="16.6640625" style="128" customWidth="1"/>
    <col min="3" max="3" width="17.88671875" style="128" customWidth="1"/>
    <col min="4" max="4" width="17.33203125" style="128" customWidth="1"/>
    <col min="5" max="5" width="18" style="128" customWidth="1"/>
    <col min="6" max="6" width="16.6640625" style="128" hidden="1" customWidth="1"/>
    <col min="7" max="7" width="16.44140625" style="128" customWidth="1"/>
    <col min="8" max="8" width="16.109375" style="128" customWidth="1"/>
    <col min="9" max="9" width="18.33203125" style="128" customWidth="1"/>
    <col min="10" max="16384" width="8.88671875" style="128"/>
  </cols>
  <sheetData>
    <row r="1" spans="1:6">
      <c r="A1" s="127" t="s">
        <v>244</v>
      </c>
    </row>
    <row r="2" spans="1:6" ht="18" customHeight="1">
      <c r="A2" s="146" t="s">
        <v>186</v>
      </c>
      <c r="B2" s="146"/>
      <c r="C2" s="147"/>
      <c r="D2" s="147"/>
    </row>
    <row r="3" spans="1:6" ht="42.6" customHeight="1">
      <c r="A3" s="145"/>
      <c r="B3" s="329" t="s">
        <v>238</v>
      </c>
      <c r="C3" s="321" t="s">
        <v>188</v>
      </c>
      <c r="D3" s="321" t="s">
        <v>184</v>
      </c>
    </row>
    <row r="4" spans="1:6">
      <c r="A4" s="127" t="s">
        <v>182</v>
      </c>
      <c r="B4" s="133">
        <v>-6.7599999999999993E-2</v>
      </c>
      <c r="C4" s="131">
        <v>-6.7599999999999993E-2</v>
      </c>
      <c r="D4" s="140">
        <f>$B$8*C4</f>
        <v>-8.4136855812560734E-3</v>
      </c>
    </row>
    <row r="5" spans="1:6">
      <c r="A5" s="127" t="s">
        <v>239</v>
      </c>
      <c r="B5" s="133">
        <f>-(B4-C5)</f>
        <v>-3.2400000000000012E-2</v>
      </c>
      <c r="C5" s="149">
        <v>-0.1</v>
      </c>
      <c r="D5" s="140">
        <f>$B$8*C5</f>
        <v>-1.244628044564508E-2</v>
      </c>
    </row>
    <row r="6" spans="1:6">
      <c r="A6" s="127" t="s">
        <v>240</v>
      </c>
      <c r="B6" s="148"/>
      <c r="C6" s="140"/>
    </row>
    <row r="7" spans="1:6">
      <c r="A7" s="127"/>
      <c r="B7" s="148"/>
      <c r="C7" s="140"/>
    </row>
    <row r="8" spans="1:6" ht="28.8">
      <c r="A8" s="141" t="s">
        <v>183</v>
      </c>
      <c r="B8" s="131">
        <f>'2.RRIP Modeling Results'!I49</f>
        <v>0.12446280445645079</v>
      </c>
    </row>
    <row r="10" spans="1:6">
      <c r="A10" s="343" t="s">
        <v>178</v>
      </c>
      <c r="B10" s="150"/>
      <c r="C10" s="142"/>
      <c r="D10" s="129" t="s">
        <v>179</v>
      </c>
      <c r="E10" s="129"/>
      <c r="F10" s="150"/>
    </row>
    <row r="11" spans="1:6" ht="109.2" customHeight="1">
      <c r="A11" s="343"/>
      <c r="B11" s="150" t="s">
        <v>185</v>
      </c>
      <c r="C11" s="144" t="s">
        <v>187</v>
      </c>
      <c r="D11" s="150" t="s">
        <v>189</v>
      </c>
      <c r="E11" s="150" t="s">
        <v>190</v>
      </c>
      <c r="F11" s="130"/>
    </row>
    <row r="12" spans="1:6">
      <c r="A12" s="127" t="s">
        <v>181</v>
      </c>
      <c r="B12" s="143">
        <f>D5</f>
        <v>-1.244628044564508E-2</v>
      </c>
      <c r="C12" s="133">
        <f>'7Aggregate Summary'!C6</f>
        <v>0.01</v>
      </c>
      <c r="D12" s="133">
        <v>5.0000000000000001E-3</v>
      </c>
      <c r="E12" s="133">
        <f>'7Aggregate Summary'!C6</f>
        <v>0.01</v>
      </c>
      <c r="F12" s="127"/>
    </row>
    <row r="13" spans="1:6">
      <c r="A13" s="139">
        <v>-9.9000000000000005E-2</v>
      </c>
      <c r="B13" s="143">
        <f>A13*$B$8</f>
        <v>-1.2321817641188629E-2</v>
      </c>
      <c r="C13" s="131">
        <f t="shared" ref="C13:C30" si="0">F13*($C$31/$F$31)</f>
        <v>1.1850533807829178E-2</v>
      </c>
      <c r="D13" s="131">
        <f t="shared" ref="D13:D30" si="1">F13*($D$31/$F$31)</f>
        <v>1.1850533807829178E-2</v>
      </c>
      <c r="E13" s="132">
        <v>0</v>
      </c>
      <c r="F13" s="151">
        <f>A13-$B$5</f>
        <v>-6.6599999999999993E-2</v>
      </c>
    </row>
    <row r="14" spans="1:6">
      <c r="A14" s="134">
        <f>A13+1%</f>
        <v>-8.900000000000001E-2</v>
      </c>
      <c r="B14" s="143">
        <f t="shared" ref="B14:B31" si="2">A14*$B$8</f>
        <v>-1.1077189596624121E-2</v>
      </c>
      <c r="C14" s="131">
        <f t="shared" si="0"/>
        <v>1.0071174377224199E-2</v>
      </c>
      <c r="D14" s="131">
        <f t="shared" si="1"/>
        <v>1.0071174377224199E-2</v>
      </c>
      <c r="E14" s="132">
        <v>0</v>
      </c>
      <c r="F14" s="151">
        <f t="shared" ref="F14:F31" si="3">A14-$B$5</f>
        <v>-5.6599999999999998E-2</v>
      </c>
    </row>
    <row r="15" spans="1:6">
      <c r="A15" s="134">
        <f t="shared" ref="A15:A23" si="4">A14+1%</f>
        <v>-7.9000000000000015E-2</v>
      </c>
      <c r="B15" s="143">
        <f t="shared" si="2"/>
        <v>-9.8325615520596134E-3</v>
      </c>
      <c r="C15" s="131">
        <f t="shared" si="0"/>
        <v>8.2918149466192168E-3</v>
      </c>
      <c r="D15" s="131">
        <f t="shared" si="1"/>
        <v>8.2918149466192168E-3</v>
      </c>
      <c r="E15" s="132">
        <v>0</v>
      </c>
      <c r="F15" s="151">
        <f t="shared" si="3"/>
        <v>-4.6600000000000003E-2</v>
      </c>
    </row>
    <row r="16" spans="1:6">
      <c r="A16" s="134">
        <f t="shared" si="4"/>
        <v>-6.900000000000002E-2</v>
      </c>
      <c r="B16" s="143">
        <f t="shared" si="2"/>
        <v>-8.5879335074951074E-3</v>
      </c>
      <c r="C16" s="131">
        <f t="shared" si="0"/>
        <v>6.5124555160142351E-3</v>
      </c>
      <c r="D16" s="131">
        <f t="shared" si="1"/>
        <v>6.5124555160142351E-3</v>
      </c>
      <c r="E16" s="132">
        <v>0</v>
      </c>
      <c r="F16" s="151">
        <f t="shared" si="3"/>
        <v>-3.6600000000000008E-2</v>
      </c>
    </row>
    <row r="17" spans="1:6">
      <c r="A17" s="134">
        <f t="shared" si="4"/>
        <v>-5.9000000000000018E-2</v>
      </c>
      <c r="B17" s="143">
        <f t="shared" si="2"/>
        <v>-7.3433054629305989E-3</v>
      </c>
      <c r="C17" s="131">
        <f t="shared" si="0"/>
        <v>4.7330960854092535E-3</v>
      </c>
      <c r="D17" s="131">
        <f t="shared" si="1"/>
        <v>4.7330960854092535E-3</v>
      </c>
      <c r="E17" s="132">
        <v>0</v>
      </c>
      <c r="F17" s="151">
        <f t="shared" si="3"/>
        <v>-2.6600000000000006E-2</v>
      </c>
    </row>
    <row r="18" spans="1:6">
      <c r="A18" s="134">
        <f t="shared" si="4"/>
        <v>-4.9000000000000016E-2</v>
      </c>
      <c r="B18" s="143">
        <f t="shared" si="2"/>
        <v>-6.0986774183660903E-3</v>
      </c>
      <c r="C18" s="131">
        <f t="shared" si="0"/>
        <v>2.9537366548042709E-3</v>
      </c>
      <c r="D18" s="131">
        <f t="shared" si="1"/>
        <v>2.9537366548042709E-3</v>
      </c>
      <c r="E18" s="132">
        <v>0</v>
      </c>
      <c r="F18" s="151">
        <f t="shared" si="3"/>
        <v>-1.6600000000000004E-2</v>
      </c>
    </row>
    <row r="19" spans="1:6">
      <c r="A19" s="134">
        <f t="shared" si="4"/>
        <v>-3.9000000000000014E-2</v>
      </c>
      <c r="B19" s="143">
        <f t="shared" si="2"/>
        <v>-4.8540493738015826E-3</v>
      </c>
      <c r="C19" s="131">
        <f t="shared" si="0"/>
        <v>1.1743772241992884E-3</v>
      </c>
      <c r="D19" s="131">
        <f t="shared" si="1"/>
        <v>1.1743772241992884E-3</v>
      </c>
      <c r="E19" s="132">
        <v>0</v>
      </c>
      <c r="F19" s="151">
        <f t="shared" si="3"/>
        <v>-6.6000000000000017E-3</v>
      </c>
    </row>
    <row r="20" spans="1:6">
      <c r="A20" s="134">
        <f t="shared" si="4"/>
        <v>-2.9000000000000012E-2</v>
      </c>
      <c r="B20" s="143">
        <f t="shared" si="2"/>
        <v>-3.6094213292370745E-3</v>
      </c>
      <c r="C20" s="131">
        <f t="shared" si="0"/>
        <v>-6.0498220640569397E-4</v>
      </c>
      <c r="D20" s="131">
        <f t="shared" si="1"/>
        <v>-6.0498220640569397E-4</v>
      </c>
      <c r="E20" s="132">
        <v>0</v>
      </c>
      <c r="F20" s="151">
        <f t="shared" si="3"/>
        <v>3.4000000000000002E-3</v>
      </c>
    </row>
    <row r="21" spans="1:6">
      <c r="A21" s="134">
        <f t="shared" si="4"/>
        <v>-1.900000000000001E-2</v>
      </c>
      <c r="B21" s="143">
        <f t="shared" si="2"/>
        <v>-2.3647932846725664E-3</v>
      </c>
      <c r="C21" s="131">
        <f t="shared" si="0"/>
        <v>-2.3843416370106763E-3</v>
      </c>
      <c r="D21" s="131">
        <f t="shared" si="1"/>
        <v>-2.3843416370106763E-3</v>
      </c>
      <c r="E21" s="132">
        <v>0</v>
      </c>
      <c r="F21" s="151">
        <f t="shared" si="3"/>
        <v>1.3400000000000002E-2</v>
      </c>
    </row>
    <row r="22" spans="1:6">
      <c r="A22" s="134">
        <f t="shared" si="4"/>
        <v>-9.0000000000000097E-3</v>
      </c>
      <c r="B22" s="143">
        <f t="shared" si="2"/>
        <v>-1.1201652401080582E-3</v>
      </c>
      <c r="C22" s="131">
        <f t="shared" si="0"/>
        <v>-4.1637010676156584E-3</v>
      </c>
      <c r="D22" s="131">
        <f t="shared" si="1"/>
        <v>-4.1637010676156584E-3</v>
      </c>
      <c r="E22" s="132">
        <v>0</v>
      </c>
      <c r="F22" s="151">
        <f t="shared" si="3"/>
        <v>2.3400000000000004E-2</v>
      </c>
    </row>
    <row r="23" spans="1:6">
      <c r="A23" s="136">
        <f t="shared" si="4"/>
        <v>9.9999999999999048E-4</v>
      </c>
      <c r="B23" s="143">
        <f t="shared" si="2"/>
        <v>1.244628044564496E-4</v>
      </c>
      <c r="C23" s="131">
        <f t="shared" si="0"/>
        <v>-5.9430604982206401E-3</v>
      </c>
      <c r="D23" s="131">
        <f t="shared" si="1"/>
        <v>-5.9430604982206401E-3</v>
      </c>
      <c r="E23" s="132">
        <v>0</v>
      </c>
      <c r="F23" s="151">
        <f t="shared" si="3"/>
        <v>3.3399999999999999E-2</v>
      </c>
    </row>
    <row r="24" spans="1:6">
      <c r="A24" s="135">
        <v>0.01</v>
      </c>
      <c r="B24" s="143">
        <f t="shared" si="2"/>
        <v>1.2446280445645079E-3</v>
      </c>
      <c r="C24" s="131">
        <f t="shared" si="0"/>
        <v>-7.544483985765126E-3</v>
      </c>
      <c r="D24" s="131">
        <f t="shared" si="1"/>
        <v>-7.544483985765126E-3</v>
      </c>
      <c r="E24" s="137">
        <f t="shared" ref="E24:E31" si="5">$E$32/$A$31*A24</f>
        <v>-1.25E-3</v>
      </c>
      <c r="F24" s="151">
        <f t="shared" si="3"/>
        <v>4.2400000000000014E-2</v>
      </c>
    </row>
    <row r="25" spans="1:6">
      <c r="A25" s="135">
        <v>0.02</v>
      </c>
      <c r="B25" s="143">
        <f t="shared" si="2"/>
        <v>2.4892560891290158E-3</v>
      </c>
      <c r="C25" s="131">
        <f t="shared" si="0"/>
        <v>-9.3238434163701086E-3</v>
      </c>
      <c r="D25" s="131">
        <f t="shared" si="1"/>
        <v>-9.3238434163701086E-3</v>
      </c>
      <c r="E25" s="137">
        <f t="shared" si="5"/>
        <v>-2.5000000000000001E-3</v>
      </c>
      <c r="F25" s="151">
        <f t="shared" si="3"/>
        <v>5.2400000000000016E-2</v>
      </c>
    </row>
    <row r="26" spans="1:6">
      <c r="A26" s="135">
        <v>0.03</v>
      </c>
      <c r="B26" s="143">
        <f t="shared" si="2"/>
        <v>3.7338841336935235E-3</v>
      </c>
      <c r="C26" s="131">
        <f t="shared" si="0"/>
        <v>-1.110320284697509E-2</v>
      </c>
      <c r="D26" s="131">
        <f t="shared" si="1"/>
        <v>-1.110320284697509E-2</v>
      </c>
      <c r="E26" s="137">
        <f t="shared" si="5"/>
        <v>-3.7499999999999999E-3</v>
      </c>
      <c r="F26" s="151">
        <f t="shared" si="3"/>
        <v>6.2400000000000011E-2</v>
      </c>
    </row>
    <row r="27" spans="1:6">
      <c r="A27" s="135">
        <f>A26+0.01</f>
        <v>0.04</v>
      </c>
      <c r="B27" s="143">
        <f t="shared" si="2"/>
        <v>4.9785121782580316E-3</v>
      </c>
      <c r="C27" s="131">
        <f t="shared" si="0"/>
        <v>-1.2882562277580074E-2</v>
      </c>
      <c r="D27" s="131">
        <f t="shared" si="1"/>
        <v>-1.2882562277580074E-2</v>
      </c>
      <c r="E27" s="137">
        <f t="shared" si="5"/>
        <v>-5.0000000000000001E-3</v>
      </c>
      <c r="F27" s="151">
        <f t="shared" si="3"/>
        <v>7.240000000000002E-2</v>
      </c>
    </row>
    <row r="28" spans="1:6">
      <c r="A28" s="135">
        <f t="shared" ref="A28:A31" si="6">A27+0.01</f>
        <v>0.05</v>
      </c>
      <c r="B28" s="143">
        <f t="shared" si="2"/>
        <v>6.2231402228225402E-3</v>
      </c>
      <c r="C28" s="131">
        <f t="shared" si="0"/>
        <v>-1.4661921708185055E-2</v>
      </c>
      <c r="D28" s="131">
        <f t="shared" si="1"/>
        <v>-1.4661921708185055E-2</v>
      </c>
      <c r="E28" s="137">
        <f t="shared" si="5"/>
        <v>-6.2500000000000003E-3</v>
      </c>
      <c r="F28" s="151">
        <f t="shared" si="3"/>
        <v>8.2400000000000015E-2</v>
      </c>
    </row>
    <row r="29" spans="1:6">
      <c r="A29" s="135">
        <f t="shared" si="6"/>
        <v>6.0000000000000005E-2</v>
      </c>
      <c r="B29" s="143">
        <f t="shared" si="2"/>
        <v>7.4677682673870479E-3</v>
      </c>
      <c r="C29" s="131">
        <f t="shared" si="0"/>
        <v>-1.6441281138790037E-2</v>
      </c>
      <c r="D29" s="131">
        <f t="shared" si="1"/>
        <v>-1.6441281138790037E-2</v>
      </c>
      <c r="E29" s="137">
        <f t="shared" si="5"/>
        <v>-7.5000000000000006E-3</v>
      </c>
      <c r="F29" s="151">
        <f t="shared" si="3"/>
        <v>9.240000000000001E-2</v>
      </c>
    </row>
    <row r="30" spans="1:6">
      <c r="A30" s="135">
        <f t="shared" si="6"/>
        <v>7.0000000000000007E-2</v>
      </c>
      <c r="B30" s="143">
        <f t="shared" si="2"/>
        <v>8.7123963119515556E-3</v>
      </c>
      <c r="C30" s="131">
        <f t="shared" si="0"/>
        <v>-1.822064056939502E-2</v>
      </c>
      <c r="D30" s="131">
        <f t="shared" si="1"/>
        <v>-1.822064056939502E-2</v>
      </c>
      <c r="E30" s="137">
        <f t="shared" si="5"/>
        <v>-8.7500000000000008E-3</v>
      </c>
      <c r="F30" s="151">
        <f t="shared" si="3"/>
        <v>0.10240000000000002</v>
      </c>
    </row>
    <row r="31" spans="1:6">
      <c r="A31" s="135">
        <f t="shared" si="6"/>
        <v>0.08</v>
      </c>
      <c r="B31" s="143">
        <f t="shared" si="2"/>
        <v>9.9570243565160633E-3</v>
      </c>
      <c r="C31" s="270">
        <f>'7Aggregate Summary'!B6</f>
        <v>-0.02</v>
      </c>
      <c r="D31" s="271">
        <f>-2%</f>
        <v>-0.02</v>
      </c>
      <c r="E31" s="272">
        <f t="shared" si="5"/>
        <v>-0.01</v>
      </c>
      <c r="F31" s="151">
        <f t="shared" si="3"/>
        <v>0.11240000000000001</v>
      </c>
    </row>
    <row r="32" spans="1:6">
      <c r="A32" s="127" t="s">
        <v>180</v>
      </c>
      <c r="B32" s="127"/>
      <c r="C32" s="131">
        <f>C31</f>
        <v>-0.02</v>
      </c>
      <c r="D32" s="131">
        <v>-0.02</v>
      </c>
      <c r="E32" s="138">
        <f>-1%</f>
        <v>-0.01</v>
      </c>
      <c r="F32" s="127"/>
    </row>
    <row r="34" spans="1:1">
      <c r="A34" s="127" t="s">
        <v>221</v>
      </c>
    </row>
    <row r="35" spans="1:1">
      <c r="A35" s="128" t="s">
        <v>222</v>
      </c>
    </row>
  </sheetData>
  <mergeCells count="1">
    <mergeCell ref="A10:A11"/>
  </mergeCells>
  <pageMargins left="0.7" right="0.7" top="0.75" bottom="0.75" header="0.3" footer="0.3"/>
  <pageSetup orientation="portrait" r:id="rId1"/>
  <headerFooter>
    <oddFooter>&amp;CHSCRC Work Group Meeting
Feb 2, 2015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/>
  </sheetViews>
  <sheetFormatPr defaultRowHeight="14.4"/>
  <cols>
    <col min="1" max="1" width="12.6640625" customWidth="1"/>
    <col min="2" max="2" width="40.109375" customWidth="1"/>
    <col min="3" max="3" width="13.44140625" bestFit="1" customWidth="1"/>
  </cols>
  <sheetData>
    <row r="1" spans="1:3" ht="57.6">
      <c r="A1" s="35" t="s">
        <v>121</v>
      </c>
      <c r="B1" s="34" t="s">
        <v>120</v>
      </c>
      <c r="C1" s="34" t="s">
        <v>119</v>
      </c>
    </row>
    <row r="2" spans="1:3" ht="15.6">
      <c r="A2" s="33">
        <v>210001</v>
      </c>
      <c r="B2" s="33" t="s">
        <v>52</v>
      </c>
      <c r="C2" s="32">
        <v>187434496.6631088</v>
      </c>
    </row>
    <row r="3" spans="1:3" ht="15.6">
      <c r="A3" s="33">
        <v>210002</v>
      </c>
      <c r="B3" s="33" t="s">
        <v>53</v>
      </c>
      <c r="C3" s="32">
        <v>863843448.60398436</v>
      </c>
    </row>
    <row r="4" spans="1:3" ht="15.6">
      <c r="A4" s="33">
        <v>210003</v>
      </c>
      <c r="B4" s="33" t="s">
        <v>54</v>
      </c>
      <c r="C4" s="32">
        <v>177243165.22063905</v>
      </c>
    </row>
    <row r="5" spans="1:3" ht="15.6">
      <c r="A5" s="33">
        <v>210004</v>
      </c>
      <c r="B5" s="33" t="s">
        <v>55</v>
      </c>
      <c r="C5" s="32">
        <v>319596342.21781081</v>
      </c>
    </row>
    <row r="6" spans="1:3" ht="15.6">
      <c r="A6" s="33">
        <v>210005</v>
      </c>
      <c r="B6" s="33" t="s">
        <v>56</v>
      </c>
      <c r="C6" s="32">
        <v>189480762.70820984</v>
      </c>
    </row>
    <row r="7" spans="1:3" ht="15.6">
      <c r="A7" s="33">
        <v>210006</v>
      </c>
      <c r="B7" s="33" t="s">
        <v>57</v>
      </c>
      <c r="C7" s="32">
        <v>47089618.293410309</v>
      </c>
    </row>
    <row r="8" spans="1:3" ht="15.6">
      <c r="A8" s="33">
        <v>210008</v>
      </c>
      <c r="B8" s="33" t="s">
        <v>58</v>
      </c>
      <c r="C8" s="32">
        <v>233163593.66479388</v>
      </c>
    </row>
    <row r="9" spans="1:3" ht="15.6">
      <c r="A9" s="33">
        <v>210009</v>
      </c>
      <c r="B9" s="33" t="s">
        <v>59</v>
      </c>
      <c r="C9" s="32">
        <v>1292515919.3162181</v>
      </c>
    </row>
    <row r="10" spans="1:3" ht="15.6">
      <c r="A10" s="33">
        <v>210010</v>
      </c>
      <c r="B10" s="33" t="s">
        <v>60</v>
      </c>
      <c r="C10" s="32">
        <v>25127934.983499374</v>
      </c>
    </row>
    <row r="11" spans="1:3" ht="15.6">
      <c r="A11" s="33">
        <v>210011</v>
      </c>
      <c r="B11" s="33" t="s">
        <v>61</v>
      </c>
      <c r="C11" s="32">
        <v>239121555.83864471</v>
      </c>
    </row>
    <row r="12" spans="1:3" ht="15.6">
      <c r="A12" s="33">
        <v>210012</v>
      </c>
      <c r="B12" s="33" t="s">
        <v>62</v>
      </c>
      <c r="C12" s="32">
        <v>429154678.73181057</v>
      </c>
    </row>
    <row r="13" spans="1:3" ht="15.6">
      <c r="A13" s="33">
        <v>210013</v>
      </c>
      <c r="B13" s="33" t="s">
        <v>63</v>
      </c>
      <c r="C13" s="32">
        <v>78212787.330636472</v>
      </c>
    </row>
    <row r="14" spans="1:3" ht="15.6">
      <c r="A14" s="33">
        <v>210015</v>
      </c>
      <c r="B14" s="33" t="s">
        <v>64</v>
      </c>
      <c r="C14" s="32">
        <v>285691170.35922825</v>
      </c>
    </row>
    <row r="15" spans="1:3" ht="15.6">
      <c r="A15" s="33">
        <v>210016</v>
      </c>
      <c r="B15" s="33" t="s">
        <v>65</v>
      </c>
      <c r="C15" s="32">
        <v>161698669.47905135</v>
      </c>
    </row>
    <row r="16" spans="1:3" ht="15.6">
      <c r="A16" s="33">
        <v>210017</v>
      </c>
      <c r="B16" s="33" t="s">
        <v>66</v>
      </c>
      <c r="C16" s="32">
        <v>18724073.644907132</v>
      </c>
    </row>
    <row r="17" spans="1:3" ht="15.6">
      <c r="A17" s="33">
        <v>210018</v>
      </c>
      <c r="B17" s="33" t="s">
        <v>67</v>
      </c>
      <c r="C17" s="32">
        <v>87652208.15841648</v>
      </c>
    </row>
    <row r="18" spans="1:3" ht="15.6">
      <c r="A18" s="33">
        <v>210019</v>
      </c>
      <c r="B18" s="33" t="s">
        <v>68</v>
      </c>
      <c r="C18" s="32">
        <v>233728496.38738936</v>
      </c>
    </row>
    <row r="19" spans="1:3" ht="15.6">
      <c r="A19" s="33">
        <v>210022</v>
      </c>
      <c r="B19" s="33" t="s">
        <v>69</v>
      </c>
      <c r="C19" s="32">
        <v>181410188.33315492</v>
      </c>
    </row>
    <row r="20" spans="1:3" ht="15.6">
      <c r="A20" s="33">
        <v>210023</v>
      </c>
      <c r="B20" s="33" t="s">
        <v>70</v>
      </c>
      <c r="C20" s="32">
        <v>310117074.81392145</v>
      </c>
    </row>
    <row r="21" spans="1:3" ht="15.6">
      <c r="A21" s="33">
        <v>210024</v>
      </c>
      <c r="B21" s="33" t="s">
        <v>71</v>
      </c>
      <c r="C21" s="32">
        <v>242505500.48554313</v>
      </c>
    </row>
    <row r="22" spans="1:3" ht="30.6">
      <c r="A22" s="33">
        <v>210027</v>
      </c>
      <c r="B22" s="33" t="s">
        <v>72</v>
      </c>
      <c r="C22" s="32">
        <v>184484265.97300443</v>
      </c>
    </row>
    <row r="23" spans="1:3" ht="15.6">
      <c r="A23" s="33">
        <v>210028</v>
      </c>
      <c r="B23" s="33" t="s">
        <v>73</v>
      </c>
      <c r="C23" s="32">
        <v>69520305.288439929</v>
      </c>
    </row>
    <row r="24" spans="1:3" ht="15.6">
      <c r="A24" s="33">
        <v>210029</v>
      </c>
      <c r="B24" s="33" t="s">
        <v>74</v>
      </c>
      <c r="C24" s="32">
        <v>356396901.46731883</v>
      </c>
    </row>
    <row r="25" spans="1:3" ht="15.6">
      <c r="A25" s="33">
        <v>210030</v>
      </c>
      <c r="B25" s="33" t="s">
        <v>75</v>
      </c>
      <c r="C25" s="32">
        <v>29416674.305924561</v>
      </c>
    </row>
    <row r="26" spans="1:3" ht="15.6">
      <c r="A26" s="33">
        <v>210032</v>
      </c>
      <c r="B26" s="33" t="s">
        <v>76</v>
      </c>
      <c r="C26" s="32">
        <v>67852188.547545061</v>
      </c>
    </row>
    <row r="27" spans="1:3" ht="15.6">
      <c r="A27" s="33">
        <v>210033</v>
      </c>
      <c r="B27" s="33" t="s">
        <v>77</v>
      </c>
      <c r="C27" s="32">
        <v>138209278.26224214</v>
      </c>
    </row>
    <row r="28" spans="1:3" ht="15.6">
      <c r="A28" s="33">
        <v>210034</v>
      </c>
      <c r="B28" s="33" t="s">
        <v>78</v>
      </c>
      <c r="C28" s="32">
        <v>124002219.66514386</v>
      </c>
    </row>
    <row r="29" spans="1:3" ht="15.6">
      <c r="A29" s="33">
        <v>210035</v>
      </c>
      <c r="B29" s="33" t="s">
        <v>79</v>
      </c>
      <c r="C29" s="32">
        <v>76338049.290417254</v>
      </c>
    </row>
    <row r="30" spans="1:3" ht="15.6">
      <c r="A30" s="33">
        <v>210037</v>
      </c>
      <c r="B30" s="33" t="s">
        <v>80</v>
      </c>
      <c r="C30" s="32">
        <v>94828131.850859523</v>
      </c>
    </row>
    <row r="31" spans="1:3" ht="15.6">
      <c r="A31" s="33">
        <v>210038</v>
      </c>
      <c r="B31" s="33" t="s">
        <v>81</v>
      </c>
      <c r="C31" s="32">
        <v>133787810.98689511</v>
      </c>
    </row>
    <row r="32" spans="1:3" ht="15.6">
      <c r="A32" s="33">
        <v>210039</v>
      </c>
      <c r="B32" s="33" t="s">
        <v>82</v>
      </c>
      <c r="C32" s="32">
        <v>67385286.839919657</v>
      </c>
    </row>
    <row r="33" spans="1:3" ht="15.6">
      <c r="A33" s="33">
        <v>210040</v>
      </c>
      <c r="B33" s="33" t="s">
        <v>83</v>
      </c>
      <c r="C33" s="32">
        <v>142186717.48751882</v>
      </c>
    </row>
    <row r="34" spans="1:3" ht="30.6">
      <c r="A34" s="33">
        <v>210043</v>
      </c>
      <c r="B34" s="33" t="s">
        <v>84</v>
      </c>
      <c r="C34" s="32">
        <v>223155125.99975017</v>
      </c>
    </row>
    <row r="35" spans="1:3" ht="15.6">
      <c r="A35" s="33">
        <v>210044</v>
      </c>
      <c r="B35" s="33" t="s">
        <v>85</v>
      </c>
      <c r="C35" s="32">
        <v>201533345.32362995</v>
      </c>
    </row>
    <row r="36" spans="1:3" ht="15.6">
      <c r="A36" s="33">
        <v>210045</v>
      </c>
      <c r="B36" s="33" t="s">
        <v>86</v>
      </c>
      <c r="C36" s="32">
        <v>3734618.2392469109</v>
      </c>
    </row>
    <row r="37" spans="1:3" ht="15.6">
      <c r="A37" s="33">
        <v>210048</v>
      </c>
      <c r="B37" s="33" t="s">
        <v>87</v>
      </c>
      <c r="C37" s="32">
        <v>167386496.75761572</v>
      </c>
    </row>
    <row r="38" spans="1:3" ht="15.6">
      <c r="A38" s="33">
        <v>210049</v>
      </c>
      <c r="B38" s="33" t="s">
        <v>88</v>
      </c>
      <c r="C38" s="32">
        <v>148917095.66517001</v>
      </c>
    </row>
    <row r="39" spans="1:3" ht="15.6">
      <c r="A39" s="33">
        <v>210051</v>
      </c>
      <c r="B39" s="33" t="s">
        <v>89</v>
      </c>
      <c r="C39" s="32">
        <v>136225390.68992713</v>
      </c>
    </row>
    <row r="40" spans="1:3" ht="15.6">
      <c r="A40" s="33">
        <v>210055</v>
      </c>
      <c r="B40" s="33" t="s">
        <v>90</v>
      </c>
      <c r="C40" s="32">
        <v>77501975.342135206</v>
      </c>
    </row>
    <row r="41" spans="1:3" ht="15.6">
      <c r="A41" s="33">
        <v>210056</v>
      </c>
      <c r="B41" s="33" t="s">
        <v>91</v>
      </c>
      <c r="C41" s="32">
        <v>180861011.49427712</v>
      </c>
    </row>
    <row r="42" spans="1:3" ht="15.6">
      <c r="A42" s="33">
        <v>210057</v>
      </c>
      <c r="B42" s="33" t="s">
        <v>92</v>
      </c>
      <c r="C42" s="32">
        <v>228731774.96088892</v>
      </c>
    </row>
    <row r="43" spans="1:3" ht="15.6">
      <c r="A43" s="33">
        <v>210058</v>
      </c>
      <c r="B43" s="33" t="s">
        <v>93</v>
      </c>
      <c r="C43" s="32">
        <v>69104845.787293941</v>
      </c>
    </row>
    <row r="44" spans="1:3" ht="15.6">
      <c r="A44" s="33">
        <v>210060</v>
      </c>
      <c r="B44" s="33" t="s">
        <v>94</v>
      </c>
      <c r="C44" s="32">
        <v>17776133.449990414</v>
      </c>
    </row>
    <row r="45" spans="1:3" ht="15.6">
      <c r="A45" s="33">
        <v>210061</v>
      </c>
      <c r="B45" s="33" t="s">
        <v>95</v>
      </c>
      <c r="C45" s="32">
        <v>38640762.060988352</v>
      </c>
    </row>
    <row r="46" spans="1:3" ht="15.6">
      <c r="A46" s="33">
        <v>210062</v>
      </c>
      <c r="B46" s="33" t="s">
        <v>96</v>
      </c>
      <c r="C46" s="32">
        <v>163208213.46317798</v>
      </c>
    </row>
    <row r="47" spans="1:3" ht="15.6">
      <c r="A47" s="33">
        <v>210063</v>
      </c>
      <c r="B47" s="196" t="s">
        <v>97</v>
      </c>
      <c r="C47" s="32">
        <v>216335127.85977465</v>
      </c>
    </row>
    <row r="48" spans="1:3" ht="15.6">
      <c r="B48" s="248" t="s">
        <v>213</v>
      </c>
      <c r="C48" s="5">
        <f>SUM(C2:C47)</f>
        <v>8961031432.293478</v>
      </c>
    </row>
  </sheetData>
  <sortState ref="A2:C47">
    <sortCondition ref="A2:A4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9"/>
  <sheetViews>
    <sheetView tabSelected="1" topLeftCell="U25" workbookViewId="0">
      <selection activeCell="E15" sqref="E15"/>
    </sheetView>
  </sheetViews>
  <sheetFormatPr defaultColWidth="9.109375" defaultRowHeight="15"/>
  <cols>
    <col min="1" max="1" width="12.109375" style="153" customWidth="1"/>
    <col min="2" max="2" width="29.44140625" style="153" customWidth="1"/>
    <col min="3" max="3" width="17.5546875" style="153" customWidth="1"/>
    <col min="4" max="4" width="22.88671875" style="153" hidden="1" customWidth="1"/>
    <col min="5" max="5" width="20" style="153" hidden="1" customWidth="1"/>
    <col min="6" max="6" width="19.33203125" style="153" hidden="1" customWidth="1"/>
    <col min="7" max="7" width="18.88671875" style="153" hidden="1" customWidth="1"/>
    <col min="8" max="8" width="22.33203125" style="153" hidden="1" customWidth="1"/>
    <col min="9" max="9" width="17.5546875" style="153" hidden="1" customWidth="1"/>
    <col min="10" max="10" width="21.6640625" style="153" hidden="1" customWidth="1"/>
    <col min="11" max="11" width="19.44140625" style="153" hidden="1" customWidth="1"/>
    <col min="12" max="12" width="19.33203125" style="153" hidden="1" customWidth="1"/>
    <col min="13" max="13" width="30.5546875" style="153" hidden="1" customWidth="1"/>
    <col min="14" max="14" width="20.44140625" style="153" hidden="1" customWidth="1"/>
    <col min="15" max="15" width="21.5546875" style="153" hidden="1" customWidth="1"/>
    <col min="16" max="17" width="21.5546875" style="153" customWidth="1"/>
    <col min="18" max="18" width="24" style="153" customWidth="1"/>
    <col min="19" max="19" width="17.88671875" style="153" customWidth="1"/>
    <col min="20" max="20" width="17.6640625" style="153" customWidth="1"/>
    <col min="21" max="22" width="19.33203125" style="153" customWidth="1"/>
    <col min="23" max="23" width="16.33203125" style="153" customWidth="1"/>
    <col min="24" max="25" width="19.33203125" style="153" customWidth="1"/>
    <col min="26" max="26" width="14.5546875" style="153" customWidth="1"/>
    <col min="27" max="27" width="17" style="153" customWidth="1"/>
    <col min="28" max="28" width="12.6640625" style="153" customWidth="1"/>
    <col min="29" max="29" width="18.33203125" style="153" customWidth="1"/>
    <col min="30" max="30" width="25.6640625" style="153" hidden="1" customWidth="1"/>
    <col min="31" max="16384" width="9.109375" style="153"/>
  </cols>
  <sheetData>
    <row r="1" spans="1:30" ht="34.950000000000003" customHeight="1">
      <c r="A1" s="335" t="s">
        <v>245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8"/>
      <c r="X1" s="344" t="s">
        <v>187</v>
      </c>
      <c r="Y1" s="345"/>
      <c r="Z1" s="346" t="s">
        <v>191</v>
      </c>
      <c r="AA1" s="346"/>
      <c r="AB1" s="346" t="s">
        <v>192</v>
      </c>
      <c r="AC1" s="346"/>
      <c r="AD1" s="152"/>
    </row>
    <row r="2" spans="1:30" s="159" customFormat="1" ht="64.2" customHeight="1">
      <c r="A2" s="154" t="s">
        <v>46</v>
      </c>
      <c r="B2" s="154" t="s">
        <v>1</v>
      </c>
      <c r="C2" s="155" t="str">
        <f>'4.QBR Modeling Results'!$C$2</f>
        <v>Estimated Inpatient Revenue (FY15*2.6%)</v>
      </c>
      <c r="D2" s="154" t="s">
        <v>47</v>
      </c>
      <c r="E2" s="154" t="s">
        <v>48</v>
      </c>
      <c r="F2" s="154" t="s">
        <v>49</v>
      </c>
      <c r="G2" s="154" t="s">
        <v>50</v>
      </c>
      <c r="H2" s="154" t="s">
        <v>51</v>
      </c>
      <c r="I2" s="154" t="s">
        <v>151</v>
      </c>
      <c r="J2" s="154" t="s">
        <v>193</v>
      </c>
      <c r="K2" s="154" t="s">
        <v>194</v>
      </c>
      <c r="L2" s="154" t="s">
        <v>195</v>
      </c>
      <c r="M2" s="154" t="s">
        <v>196</v>
      </c>
      <c r="N2" s="154" t="s">
        <v>197</v>
      </c>
      <c r="O2" s="154" t="s">
        <v>152</v>
      </c>
      <c r="P2" s="156" t="s">
        <v>198</v>
      </c>
      <c r="Q2" s="156" t="s">
        <v>199</v>
      </c>
      <c r="R2" s="156" t="s">
        <v>200</v>
      </c>
      <c r="S2" s="156" t="s">
        <v>201</v>
      </c>
      <c r="T2" s="156" t="s">
        <v>159</v>
      </c>
      <c r="U2" s="156" t="s">
        <v>167</v>
      </c>
      <c r="V2" s="157" t="s">
        <v>202</v>
      </c>
      <c r="W2" s="157" t="s">
        <v>203</v>
      </c>
      <c r="X2" s="157" t="s">
        <v>160</v>
      </c>
      <c r="Y2" s="157" t="s">
        <v>161</v>
      </c>
      <c r="Z2" s="157" t="s">
        <v>160</v>
      </c>
      <c r="AA2" s="157" t="s">
        <v>161</v>
      </c>
      <c r="AB2" s="157" t="s">
        <v>160</v>
      </c>
      <c r="AC2" s="157" t="s">
        <v>161</v>
      </c>
      <c r="AD2" s="158"/>
    </row>
    <row r="3" spans="1:30" ht="16.95" customHeight="1">
      <c r="A3" s="160">
        <v>210045</v>
      </c>
      <c r="B3" s="161" t="s">
        <v>86</v>
      </c>
      <c r="C3" s="120">
        <f>VLOOKUP(A3,Revenue!$A$2:$C$47,3,0)</f>
        <v>3734618.2392469109</v>
      </c>
      <c r="D3" s="162">
        <v>240</v>
      </c>
      <c r="E3" s="162">
        <v>43</v>
      </c>
      <c r="F3" s="163">
        <f t="shared" ref="F3:F48" si="0">E3/D3</f>
        <v>0.17916666666666667</v>
      </c>
      <c r="G3" s="164">
        <v>43.636000000000003</v>
      </c>
      <c r="H3" s="165">
        <f t="shared" ref="H3:H48" si="1">E3/G3</f>
        <v>0.98542487854065441</v>
      </c>
      <c r="I3" s="163">
        <f>H3*'[1]2. CY2013 BASE READMISSIONS'!$E$51</f>
        <v>0.12319768439373242</v>
      </c>
      <c r="J3" s="162">
        <v>262</v>
      </c>
      <c r="K3" s="162">
        <v>30</v>
      </c>
      <c r="L3" s="163">
        <f t="shared" ref="L3:L48" si="2">K3/J3</f>
        <v>0.11450381679389313</v>
      </c>
      <c r="M3" s="164">
        <v>43.698</v>
      </c>
      <c r="N3" s="165">
        <f t="shared" ref="N3:N49" si="3">K3/M3</f>
        <v>0.68653027598517091</v>
      </c>
      <c r="O3" s="163">
        <f>N3*'[1]2. CY2013 BASE READMISSIONS'!$E$51</f>
        <v>8.582992180268334E-2</v>
      </c>
      <c r="P3" s="163">
        <f>(J3-K3)/(D3-E3)-1</f>
        <v>0.17766497461928932</v>
      </c>
      <c r="Q3" s="163">
        <f t="shared" ref="Q3:Q48" si="4">K3/E3-1</f>
        <v>-0.30232558139534882</v>
      </c>
      <c r="R3" s="166">
        <f t="shared" ref="R3:R48" si="5">O3/I3-1</f>
        <v>-0.30331546225839723</v>
      </c>
      <c r="S3" s="167">
        <f t="shared" ref="S3:S48" si="6">-C3*I3*R3</f>
        <v>139554.3277323803</v>
      </c>
      <c r="T3" s="121">
        <f>IF(R3&lt;-6.76%,0.5%,0)</f>
        <v>5.0000000000000001E-3</v>
      </c>
      <c r="U3" s="122">
        <f t="shared" ref="U3:U48" si="7">C3*T3</f>
        <v>18673.091196234556</v>
      </c>
      <c r="V3" s="168">
        <f>R3*2</f>
        <v>-0.60663092451679446</v>
      </c>
      <c r="W3" s="168">
        <f t="shared" ref="W3:W49" si="8">I3*(1+V3)</f>
        <v>4.8462159211634263E-2</v>
      </c>
      <c r="X3" s="169">
        <f>IF($V$3&lt;='1.Readmission Scaling'!$B$5,'1.Readmission Scaling'!$C$12,IF($V$3&gt;='1.Readmission Scaling'!$A$31,'1.Readmission Scaling'!$C$31,'2.RRIP Modeling Results'!AD3*('1.Readmission Scaling'!$C$31/'1.Readmission Scaling'!$F$31)))</f>
        <v>0.01</v>
      </c>
      <c r="Y3" s="122">
        <f>$C3*X3</f>
        <v>37346.182392469113</v>
      </c>
      <c r="Z3" s="169">
        <f>IF($V3&lt;='1.Readmission Scaling'!$B$5,'1.Readmission Scaling'!$D$12,IF($V3&gt;='1.Readmission Scaling'!$A$31,'1.Readmission Scaling'!$D$31,'2.RRIP Modeling Results'!$AD3*('1.Readmission Scaling'!$D$31/'1.Readmission Scaling'!$F$31)))</f>
        <v>5.0000000000000001E-3</v>
      </c>
      <c r="AA3" s="122">
        <f>$C3*Z3</f>
        <v>18673.091196234556</v>
      </c>
      <c r="AB3" s="169">
        <f>IF($V3&lt;='1.Readmission Scaling'!$B$5,'1.Readmission Scaling'!$E$12, IF($V3&lt;0,0,IF($V3&gt;='1.Readmission Scaling'!$A$31,'1.Readmission Scaling'!$E$31,'2.RRIP Modeling Results'!$AD3*('1.Readmission Scaling'!$E$31/'1.Readmission Scaling'!$F$31))))</f>
        <v>0.01</v>
      </c>
      <c r="AC3" s="122">
        <f>$C3*AB3</f>
        <v>37346.182392469113</v>
      </c>
      <c r="AD3" s="170">
        <f>V3-'1.Readmission Scaling'!$B$5</f>
        <v>-0.57423092451679447</v>
      </c>
    </row>
    <row r="4" spans="1:30" ht="16.95" customHeight="1">
      <c r="A4" s="160">
        <v>210028</v>
      </c>
      <c r="B4" s="161" t="s">
        <v>73</v>
      </c>
      <c r="C4" s="120">
        <f>VLOOKUP(A4,Revenue!$A$2:$C$47,3,0)</f>
        <v>69520305.288439929</v>
      </c>
      <c r="D4" s="162">
        <v>7010</v>
      </c>
      <c r="E4" s="162">
        <v>822</v>
      </c>
      <c r="F4" s="163">
        <f t="shared" si="0"/>
        <v>0.11726105563480742</v>
      </c>
      <c r="G4" s="164">
        <v>827.44</v>
      </c>
      <c r="H4" s="165">
        <f t="shared" si="1"/>
        <v>0.99342550517258044</v>
      </c>
      <c r="I4" s="163">
        <f>H4*'[1]2. CY2013 BASE READMISSIONS'!$E$51</f>
        <v>0.12419792164795296</v>
      </c>
      <c r="J4" s="162">
        <v>6437</v>
      </c>
      <c r="K4" s="162">
        <v>623</v>
      </c>
      <c r="L4" s="163">
        <f t="shared" si="2"/>
        <v>9.6784216249805807E-2</v>
      </c>
      <c r="M4" s="164">
        <v>746.37</v>
      </c>
      <c r="N4" s="165">
        <f t="shared" si="3"/>
        <v>0.83470664683735951</v>
      </c>
      <c r="O4" s="163">
        <f>N4*'[1]2. CY2013 BASE READMISSIONS'!$E$51</f>
        <v>0.10435491154912747</v>
      </c>
      <c r="P4" s="163">
        <f t="shared" ref="P4:P48" si="9">(J4-K4)/(D4-E4)-1</f>
        <v>-6.0439560439560447E-2</v>
      </c>
      <c r="Q4" s="163">
        <f t="shared" si="4"/>
        <v>-0.24209245742092456</v>
      </c>
      <c r="R4" s="166">
        <f t="shared" si="5"/>
        <v>-0.15976926051203799</v>
      </c>
      <c r="S4" s="167">
        <f t="shared" si="6"/>
        <v>1379492.1199119438</v>
      </c>
      <c r="T4" s="121">
        <f t="shared" ref="T4:T48" si="10">IF(R4&lt;-6.76%,0.5%,0)</f>
        <v>5.0000000000000001E-3</v>
      </c>
      <c r="U4" s="122">
        <f t="shared" si="7"/>
        <v>347601.52644219965</v>
      </c>
      <c r="V4" s="168">
        <f t="shared" ref="V4:V49" si="11">R4*2</f>
        <v>-0.31953852102407598</v>
      </c>
      <c r="W4" s="168">
        <f t="shared" si="8"/>
        <v>8.4511901450302004E-2</v>
      </c>
      <c r="X4" s="169">
        <f>IF(V4&lt;=-10%,'1.Readmission Scaling'!$C$12,IF(V4&gt;=8%,'1.Readmission Scaling'!$C$31,'2.RRIP Modeling Results'!AD4*('1.Readmission Scaling'!$C$31/'1.Readmission Scaling'!$F$31)))</f>
        <v>0.01</v>
      </c>
      <c r="Y4" s="122">
        <f t="shared" ref="Y4:Y48" si="12">C4*X4</f>
        <v>695203.05288439931</v>
      </c>
      <c r="Z4" s="169">
        <f>IF($V4&lt;='1.Readmission Scaling'!$B$5,'1.Readmission Scaling'!$D$12,IF($V4&gt;='1.Readmission Scaling'!$A$31,'1.Readmission Scaling'!$D$31,'2.RRIP Modeling Results'!$AD4*('1.Readmission Scaling'!$D$31/'1.Readmission Scaling'!$F$31)))</f>
        <v>5.0000000000000001E-3</v>
      </c>
      <c r="AA4" s="122">
        <f t="shared" ref="AA4:AA48" si="13">$C4*Z4</f>
        <v>347601.52644219965</v>
      </c>
      <c r="AB4" s="169">
        <f>IF($V4&lt;='1.Readmission Scaling'!$B$5,'1.Readmission Scaling'!$E$12, IF($V4&lt;0,0,IF($V4&gt;='1.Readmission Scaling'!$A$31,'1.Readmission Scaling'!$E$31,'2.RRIP Modeling Results'!$AD4*('1.Readmission Scaling'!$E$31/'1.Readmission Scaling'!$F$31))))</f>
        <v>0.01</v>
      </c>
      <c r="AC4" s="122">
        <f t="shared" ref="AC4:AC48" si="14">$C4*AB4</f>
        <v>695203.05288439931</v>
      </c>
      <c r="AD4" s="170">
        <f>V4-'1.Readmission Scaling'!$B$5</f>
        <v>-0.287138521024076</v>
      </c>
    </row>
    <row r="5" spans="1:30" ht="16.95" customHeight="1">
      <c r="A5" s="160">
        <v>210039</v>
      </c>
      <c r="B5" s="161" t="s">
        <v>82</v>
      </c>
      <c r="C5" s="120">
        <f>VLOOKUP(A5,Revenue!$A$2:$C$47,3,0)</f>
        <v>67385286.839919657</v>
      </c>
      <c r="D5" s="162">
        <v>5866</v>
      </c>
      <c r="E5" s="162">
        <v>534</v>
      </c>
      <c r="F5" s="163">
        <f t="shared" si="0"/>
        <v>9.1033071939993188E-2</v>
      </c>
      <c r="G5" s="164">
        <v>699.8</v>
      </c>
      <c r="H5" s="165">
        <f t="shared" si="1"/>
        <v>0.76307516433266653</v>
      </c>
      <c r="I5" s="163">
        <f>H5*'[1]2. CY2013 BASE READMISSIONS'!$E$51</f>
        <v>9.5399553341267651E-2</v>
      </c>
      <c r="J5" s="162">
        <v>5101</v>
      </c>
      <c r="K5" s="162">
        <v>408</v>
      </c>
      <c r="L5" s="163">
        <f t="shared" si="2"/>
        <v>7.9984316800627328E-2</v>
      </c>
      <c r="M5" s="164">
        <v>631.04999999999995</v>
      </c>
      <c r="N5" s="165">
        <f t="shared" si="3"/>
        <v>0.64654147848823396</v>
      </c>
      <c r="O5" s="163">
        <f>N5*'[1]2. CY2013 BASE READMISSIONS'!$E$51</f>
        <v>8.0830527774182301E-2</v>
      </c>
      <c r="P5" s="163">
        <f t="shared" si="9"/>
        <v>-0.1198424606151538</v>
      </c>
      <c r="Q5" s="163">
        <f t="shared" si="4"/>
        <v>-0.2359550561797753</v>
      </c>
      <c r="R5" s="166">
        <f t="shared" si="5"/>
        <v>-0.15271586770399614</v>
      </c>
      <c r="S5" s="167">
        <f t="shared" si="6"/>
        <v>981737.96681616968</v>
      </c>
      <c r="T5" s="121">
        <f t="shared" si="10"/>
        <v>5.0000000000000001E-3</v>
      </c>
      <c r="U5" s="122">
        <f t="shared" si="7"/>
        <v>336926.43419959827</v>
      </c>
      <c r="V5" s="168">
        <f t="shared" si="11"/>
        <v>-0.30543173540799229</v>
      </c>
      <c r="W5" s="168">
        <f t="shared" si="8"/>
        <v>6.6261502207096937E-2</v>
      </c>
      <c r="X5" s="169">
        <f>IF(V5&lt;=-10%,'1.Readmission Scaling'!$C$12,IF(V5&gt;=8%,'1.Readmission Scaling'!$C$31,'2.RRIP Modeling Results'!AD5*('1.Readmission Scaling'!$C$31/'1.Readmission Scaling'!$F$31)))</f>
        <v>0.01</v>
      </c>
      <c r="Y5" s="122">
        <f t="shared" si="12"/>
        <v>673852.86839919654</v>
      </c>
      <c r="Z5" s="169">
        <f>IF($V5&lt;='1.Readmission Scaling'!$B$5,'1.Readmission Scaling'!$D$12,IF($V5&gt;='1.Readmission Scaling'!$A$31,'1.Readmission Scaling'!$D$31,'2.RRIP Modeling Results'!$AD5*('1.Readmission Scaling'!$D$31/'1.Readmission Scaling'!$F$31)))</f>
        <v>5.0000000000000001E-3</v>
      </c>
      <c r="AA5" s="122">
        <f t="shared" si="13"/>
        <v>336926.43419959827</v>
      </c>
      <c r="AB5" s="169">
        <f>IF($V5&lt;='1.Readmission Scaling'!$B$5,'1.Readmission Scaling'!$E$12, IF($V5&lt;0,0,IF($V5&gt;='1.Readmission Scaling'!$A$31,'1.Readmission Scaling'!$E$31,'2.RRIP Modeling Results'!$AD5*('1.Readmission Scaling'!$E$31/'1.Readmission Scaling'!$F$31))))</f>
        <v>0.01</v>
      </c>
      <c r="AC5" s="122">
        <f t="shared" si="14"/>
        <v>673852.86839919654</v>
      </c>
      <c r="AD5" s="170">
        <f>V5-'1.Readmission Scaling'!$B$5</f>
        <v>-0.2730317354079923</v>
      </c>
    </row>
    <row r="6" spans="1:30" ht="16.95" customHeight="1">
      <c r="A6" s="160">
        <v>210013</v>
      </c>
      <c r="B6" s="161" t="s">
        <v>63</v>
      </c>
      <c r="C6" s="120">
        <f>VLOOKUP(A6,Revenue!$A$2:$C$47,3,0)</f>
        <v>78212787.330636472</v>
      </c>
      <c r="D6" s="162">
        <v>4618</v>
      </c>
      <c r="E6" s="162">
        <v>1303</v>
      </c>
      <c r="F6" s="163">
        <f t="shared" si="0"/>
        <v>0.28215677782589865</v>
      </c>
      <c r="G6" s="164">
        <v>885.58</v>
      </c>
      <c r="H6" s="165">
        <f t="shared" si="1"/>
        <v>1.4713521082228596</v>
      </c>
      <c r="I6" s="163">
        <f>H6*'[1]2. CY2013 BASE READMISSIONS'!$E$51</f>
        <v>0.18394824061001661</v>
      </c>
      <c r="J6" s="162">
        <v>3526</v>
      </c>
      <c r="K6" s="162">
        <v>863</v>
      </c>
      <c r="L6" s="163">
        <f t="shared" si="2"/>
        <v>0.24475326148610324</v>
      </c>
      <c r="M6" s="164">
        <v>689.07</v>
      </c>
      <c r="N6" s="165">
        <f t="shared" si="3"/>
        <v>1.2524126721523212</v>
      </c>
      <c r="O6" s="163">
        <f>N6*'[1]2. CY2013 BASE READMISSIONS'!$E$51</f>
        <v>0.15657646206683143</v>
      </c>
      <c r="P6" s="163">
        <f t="shared" si="9"/>
        <v>-0.19668174962292606</v>
      </c>
      <c r="Q6" s="163">
        <f t="shared" si="4"/>
        <v>-0.33768227168073672</v>
      </c>
      <c r="R6" s="166">
        <f t="shared" si="5"/>
        <v>-0.14880152401791813</v>
      </c>
      <c r="S6" s="167">
        <f t="shared" si="6"/>
        <v>2140823.0940594203</v>
      </c>
      <c r="T6" s="121">
        <f t="shared" si="10"/>
        <v>5.0000000000000001E-3</v>
      </c>
      <c r="U6" s="122">
        <f t="shared" si="7"/>
        <v>391063.93665318238</v>
      </c>
      <c r="V6" s="168">
        <f t="shared" si="11"/>
        <v>-0.29760304803583626</v>
      </c>
      <c r="W6" s="168">
        <f t="shared" si="8"/>
        <v>0.12920468352364628</v>
      </c>
      <c r="X6" s="169">
        <f>IF(V6&lt;=-10%,'1.Readmission Scaling'!$C$12,IF(V6&gt;=8%,'1.Readmission Scaling'!$C$31,'2.RRIP Modeling Results'!AD6*('1.Readmission Scaling'!$C$31/'1.Readmission Scaling'!$F$31)))</f>
        <v>0.01</v>
      </c>
      <c r="Y6" s="122">
        <f t="shared" si="12"/>
        <v>782127.87330636475</v>
      </c>
      <c r="Z6" s="169">
        <f>IF($V6&lt;='1.Readmission Scaling'!$B$5,'1.Readmission Scaling'!$D$12,IF($V6&gt;='1.Readmission Scaling'!$A$31,'1.Readmission Scaling'!$D$31,'2.RRIP Modeling Results'!$AD6*('1.Readmission Scaling'!$D$31/'1.Readmission Scaling'!$F$31)))</f>
        <v>5.0000000000000001E-3</v>
      </c>
      <c r="AA6" s="122">
        <f t="shared" si="13"/>
        <v>391063.93665318238</v>
      </c>
      <c r="AB6" s="169">
        <f>IF($V6&lt;='1.Readmission Scaling'!$B$5,'1.Readmission Scaling'!$E$12, IF($V6&lt;0,0,IF($V6&gt;='1.Readmission Scaling'!$A$31,'1.Readmission Scaling'!$E$31,'2.RRIP Modeling Results'!$AD6*('1.Readmission Scaling'!$E$31/'1.Readmission Scaling'!$F$31))))</f>
        <v>0.01</v>
      </c>
      <c r="AC6" s="122">
        <f t="shared" si="14"/>
        <v>782127.87330636475</v>
      </c>
      <c r="AD6" s="170">
        <f>V6-'1.Readmission Scaling'!$B$5</f>
        <v>-0.26520304803583628</v>
      </c>
    </row>
    <row r="7" spans="1:30" ht="16.95" customHeight="1">
      <c r="A7" s="160">
        <v>210051</v>
      </c>
      <c r="B7" s="161" t="s">
        <v>89</v>
      </c>
      <c r="C7" s="120">
        <f>VLOOKUP(A7,Revenue!$A$2:$C$47,3,0)</f>
        <v>136225390.68992713</v>
      </c>
      <c r="D7" s="162">
        <v>8458</v>
      </c>
      <c r="E7" s="162">
        <v>1358</v>
      </c>
      <c r="F7" s="163">
        <f t="shared" si="0"/>
        <v>0.16055805154882952</v>
      </c>
      <c r="G7" s="164">
        <v>1390.7</v>
      </c>
      <c r="H7" s="165">
        <f t="shared" si="1"/>
        <v>0.97648666139354279</v>
      </c>
      <c r="I7" s="163">
        <f>H7*'[1]2. CY2013 BASE READMISSIONS'!$E$51</f>
        <v>0.12208022970072399</v>
      </c>
      <c r="J7" s="162">
        <v>7040</v>
      </c>
      <c r="K7" s="162">
        <v>996</v>
      </c>
      <c r="L7" s="163">
        <f t="shared" si="2"/>
        <v>0.14147727272727273</v>
      </c>
      <c r="M7" s="164">
        <v>1179.9000000000001</v>
      </c>
      <c r="N7" s="165">
        <f t="shared" si="3"/>
        <v>0.84413933384185091</v>
      </c>
      <c r="O7" s="163">
        <f>N7*'[1]2. CY2013 BASE READMISSIONS'!$E$51</f>
        <v>0.10553418479650598</v>
      </c>
      <c r="P7" s="163">
        <f t="shared" si="9"/>
        <v>-0.14873239436619723</v>
      </c>
      <c r="Q7" s="163">
        <f t="shared" si="4"/>
        <v>-0.26656848306332848</v>
      </c>
      <c r="R7" s="166">
        <f t="shared" si="5"/>
        <v>-0.13553418882631652</v>
      </c>
      <c r="S7" s="167">
        <f t="shared" si="6"/>
        <v>2253991.4314501774</v>
      </c>
      <c r="T7" s="121">
        <f t="shared" si="10"/>
        <v>5.0000000000000001E-3</v>
      </c>
      <c r="U7" s="122">
        <f t="shared" si="7"/>
        <v>681126.95344963565</v>
      </c>
      <c r="V7" s="168">
        <f t="shared" si="11"/>
        <v>-0.27106837765263303</v>
      </c>
      <c r="W7" s="168">
        <f t="shared" si="8"/>
        <v>8.898813989228796E-2</v>
      </c>
      <c r="X7" s="169">
        <f>IF(V7&lt;=-10%,'1.Readmission Scaling'!$C$12,IF(V7&gt;=8%,'1.Readmission Scaling'!$C$31,'2.RRIP Modeling Results'!AD7*('1.Readmission Scaling'!$C$31/'1.Readmission Scaling'!$F$31)))</f>
        <v>0.01</v>
      </c>
      <c r="Y7" s="122">
        <f t="shared" si="12"/>
        <v>1362253.9068992713</v>
      </c>
      <c r="Z7" s="169">
        <f>IF($V7&lt;='1.Readmission Scaling'!$B$5,'1.Readmission Scaling'!$D$12,IF($V7&gt;='1.Readmission Scaling'!$A$31,'1.Readmission Scaling'!$D$31,'2.RRIP Modeling Results'!$AD7*('1.Readmission Scaling'!$D$31/'1.Readmission Scaling'!$F$31)))</f>
        <v>5.0000000000000001E-3</v>
      </c>
      <c r="AA7" s="122">
        <f t="shared" si="13"/>
        <v>681126.95344963565</v>
      </c>
      <c r="AB7" s="169">
        <f>IF($V7&lt;='1.Readmission Scaling'!$B$5,'1.Readmission Scaling'!$E$12, IF($V7&lt;0,0,IF($V7&gt;='1.Readmission Scaling'!$A$31,'1.Readmission Scaling'!$E$31,'2.RRIP Modeling Results'!$AD7*('1.Readmission Scaling'!$E$31/'1.Readmission Scaling'!$F$31))))</f>
        <v>0.01</v>
      </c>
      <c r="AC7" s="122">
        <f t="shared" si="14"/>
        <v>1362253.9068992713</v>
      </c>
      <c r="AD7" s="170">
        <f>V7-'1.Readmission Scaling'!$B$5</f>
        <v>-0.23866837765263302</v>
      </c>
    </row>
    <row r="8" spans="1:30" ht="16.95" customHeight="1">
      <c r="A8" s="160">
        <v>210030</v>
      </c>
      <c r="B8" s="161" t="s">
        <v>75</v>
      </c>
      <c r="C8" s="120">
        <f>VLOOKUP(A8,Revenue!$A$2:$C$47,3,0)</f>
        <v>29416674.305924561</v>
      </c>
      <c r="D8" s="162">
        <v>1587</v>
      </c>
      <c r="E8" s="162">
        <v>277</v>
      </c>
      <c r="F8" s="163">
        <f t="shared" si="0"/>
        <v>0.17454316320100818</v>
      </c>
      <c r="G8" s="164">
        <v>259.29000000000002</v>
      </c>
      <c r="H8" s="165">
        <f t="shared" si="1"/>
        <v>1.0683019013459831</v>
      </c>
      <c r="I8" s="163">
        <f>H8*'[1]2. CY2013 BASE READMISSIONS'!$E$51</f>
        <v>0.13355895852168392</v>
      </c>
      <c r="J8" s="162">
        <v>1485</v>
      </c>
      <c r="K8" s="162">
        <v>224</v>
      </c>
      <c r="L8" s="163">
        <f t="shared" si="2"/>
        <v>0.15084175084175083</v>
      </c>
      <c r="M8" s="164">
        <v>241.98</v>
      </c>
      <c r="N8" s="165">
        <f t="shared" si="3"/>
        <v>0.92569633854037525</v>
      </c>
      <c r="O8" s="163">
        <f>N8*'[1]2. CY2013 BASE READMISSIONS'!$E$51</f>
        <v>0.11573043044013819</v>
      </c>
      <c r="P8" s="163">
        <f t="shared" si="9"/>
        <v>-3.7404580152671785E-2</v>
      </c>
      <c r="Q8" s="163">
        <f t="shared" si="4"/>
        <v>-0.19133574007220222</v>
      </c>
      <c r="R8" s="166">
        <f t="shared" si="5"/>
        <v>-0.13348807357352366</v>
      </c>
      <c r="S8" s="167">
        <f t="shared" si="6"/>
        <v>524456.003928861</v>
      </c>
      <c r="T8" s="121">
        <f t="shared" si="10"/>
        <v>5.0000000000000001E-3</v>
      </c>
      <c r="U8" s="122">
        <f t="shared" si="7"/>
        <v>147083.37152962282</v>
      </c>
      <c r="V8" s="168">
        <f t="shared" si="11"/>
        <v>-0.26697614714704732</v>
      </c>
      <c r="W8" s="168">
        <f t="shared" si="8"/>
        <v>9.7901902358592446E-2</v>
      </c>
      <c r="X8" s="169">
        <f>IF(V8&lt;=-10%,'1.Readmission Scaling'!$C$12,IF(V8&gt;=8%,'1.Readmission Scaling'!$C$31,'2.RRIP Modeling Results'!AD8*('1.Readmission Scaling'!$C$31/'1.Readmission Scaling'!$F$31)))</f>
        <v>0.01</v>
      </c>
      <c r="Y8" s="122">
        <f t="shared" si="12"/>
        <v>294166.74305924564</v>
      </c>
      <c r="Z8" s="169">
        <f>IF($V8&lt;='1.Readmission Scaling'!$B$5,'1.Readmission Scaling'!$D$12,IF($V8&gt;='1.Readmission Scaling'!$A$31,'1.Readmission Scaling'!$D$31,'2.RRIP Modeling Results'!$AD8*('1.Readmission Scaling'!$D$31/'1.Readmission Scaling'!$F$31)))</f>
        <v>5.0000000000000001E-3</v>
      </c>
      <c r="AA8" s="122">
        <f t="shared" si="13"/>
        <v>147083.37152962282</v>
      </c>
      <c r="AB8" s="169">
        <f>IF($V8&lt;='1.Readmission Scaling'!$B$5,'1.Readmission Scaling'!$E$12, IF($V8&lt;0,0,IF($V8&gt;='1.Readmission Scaling'!$A$31,'1.Readmission Scaling'!$E$31,'2.RRIP Modeling Results'!$AD8*('1.Readmission Scaling'!$E$31/'1.Readmission Scaling'!$F$31))))</f>
        <v>0.01</v>
      </c>
      <c r="AC8" s="122">
        <f t="shared" si="14"/>
        <v>294166.74305924564</v>
      </c>
      <c r="AD8" s="170">
        <f>V8-'1.Readmission Scaling'!$B$5</f>
        <v>-0.2345761471470473</v>
      </c>
    </row>
    <row r="9" spans="1:30" ht="16.95" customHeight="1">
      <c r="A9" s="160">
        <v>210024</v>
      </c>
      <c r="B9" s="161" t="s">
        <v>71</v>
      </c>
      <c r="C9" s="120">
        <f>VLOOKUP(A9,Revenue!$A$2:$C$47,3,0)</f>
        <v>242505500.48554313</v>
      </c>
      <c r="D9" s="162">
        <v>10738</v>
      </c>
      <c r="E9" s="162">
        <v>1819</v>
      </c>
      <c r="F9" s="163">
        <f t="shared" si="0"/>
        <v>0.16939839821195754</v>
      </c>
      <c r="G9" s="164">
        <v>1616.6</v>
      </c>
      <c r="H9" s="165">
        <f t="shared" si="1"/>
        <v>1.1252010392181122</v>
      </c>
      <c r="I9" s="163">
        <f>H9*'[1]2. CY2013 BASE READMISSIONS'!$E$51</f>
        <v>0.14067248100573884</v>
      </c>
      <c r="J9" s="162">
        <v>9853</v>
      </c>
      <c r="K9" s="162">
        <v>1489</v>
      </c>
      <c r="L9" s="163">
        <f t="shared" si="2"/>
        <v>0.15112148584187557</v>
      </c>
      <c r="M9" s="164">
        <v>1491.1</v>
      </c>
      <c r="N9" s="165">
        <f t="shared" si="3"/>
        <v>0.99859164375293419</v>
      </c>
      <c r="O9" s="163">
        <f>N9*'[1]2. CY2013 BASE READMISSIONS'!$E$51</f>
        <v>0.12484379159117913</v>
      </c>
      <c r="P9" s="163">
        <f t="shared" si="9"/>
        <v>-6.2226707029936046E-2</v>
      </c>
      <c r="Q9" s="163">
        <f t="shared" si="4"/>
        <v>-0.18141836173721826</v>
      </c>
      <c r="R9" s="166">
        <f t="shared" si="5"/>
        <v>-0.11252157708026755</v>
      </c>
      <c r="S9" s="167">
        <f t="shared" si="6"/>
        <v>3838544.2485080231</v>
      </c>
      <c r="T9" s="121">
        <f t="shared" si="10"/>
        <v>5.0000000000000001E-3</v>
      </c>
      <c r="U9" s="122">
        <f t="shared" si="7"/>
        <v>1212527.5024277156</v>
      </c>
      <c r="V9" s="168">
        <f t="shared" si="11"/>
        <v>-0.22504315416053511</v>
      </c>
      <c r="W9" s="168">
        <f t="shared" si="8"/>
        <v>0.1090151021766194</v>
      </c>
      <c r="X9" s="169">
        <f>IF(V9&lt;=-10%,'1.Readmission Scaling'!$C$12,IF(V9&gt;=8%,'1.Readmission Scaling'!$C$31,'2.RRIP Modeling Results'!AD9*('1.Readmission Scaling'!$C$31/'1.Readmission Scaling'!$F$31)))</f>
        <v>0.01</v>
      </c>
      <c r="Y9" s="122">
        <f t="shared" si="12"/>
        <v>2425055.0048554312</v>
      </c>
      <c r="Z9" s="169">
        <f>IF($V9&lt;='1.Readmission Scaling'!$B$5,'1.Readmission Scaling'!$D$12,IF($V9&gt;='1.Readmission Scaling'!$A$31,'1.Readmission Scaling'!$D$31,'2.RRIP Modeling Results'!$AD9*('1.Readmission Scaling'!$D$31/'1.Readmission Scaling'!$F$31)))</f>
        <v>5.0000000000000001E-3</v>
      </c>
      <c r="AA9" s="122">
        <f t="shared" si="13"/>
        <v>1212527.5024277156</v>
      </c>
      <c r="AB9" s="169">
        <f>IF($V9&lt;='1.Readmission Scaling'!$B$5,'1.Readmission Scaling'!$E$12, IF($V9&lt;0,0,IF($V9&gt;='1.Readmission Scaling'!$A$31,'1.Readmission Scaling'!$E$31,'2.RRIP Modeling Results'!$AD9*('1.Readmission Scaling'!$E$31/'1.Readmission Scaling'!$F$31))))</f>
        <v>0.01</v>
      </c>
      <c r="AC9" s="122">
        <f t="shared" si="14"/>
        <v>2425055.0048554312</v>
      </c>
      <c r="AD9" s="170">
        <f>V9-'1.Readmission Scaling'!$B$5</f>
        <v>-0.1926431541605351</v>
      </c>
    </row>
    <row r="10" spans="1:30" s="176" customFormat="1" ht="16.95" customHeight="1">
      <c r="A10" s="160">
        <v>210018</v>
      </c>
      <c r="B10" s="161" t="s">
        <v>67</v>
      </c>
      <c r="C10" s="123">
        <f>VLOOKUP(A10,Revenue!$A$2:$C$47,3,0)</f>
        <v>87652208.15841648</v>
      </c>
      <c r="D10" s="171">
        <v>7129</v>
      </c>
      <c r="E10" s="171">
        <v>936</v>
      </c>
      <c r="F10" s="172">
        <f t="shared" si="0"/>
        <v>0.13129471174077711</v>
      </c>
      <c r="G10" s="173">
        <v>972.33</v>
      </c>
      <c r="H10" s="174">
        <f t="shared" si="1"/>
        <v>0.96263614205053838</v>
      </c>
      <c r="I10" s="172">
        <f>H10*'[1]2. CY2013 BASE READMISSIONS'!$E$51</f>
        <v>0.12034863965477779</v>
      </c>
      <c r="J10" s="171">
        <v>7253</v>
      </c>
      <c r="K10" s="171">
        <v>855</v>
      </c>
      <c r="L10" s="172">
        <f t="shared" si="2"/>
        <v>0.11788225561836481</v>
      </c>
      <c r="M10" s="173">
        <v>989.14</v>
      </c>
      <c r="N10" s="174">
        <f t="shared" si="3"/>
        <v>0.86438724548597778</v>
      </c>
      <c r="O10" s="172">
        <f>N10*'[1]2. CY2013 BASE READMISSIONS'!$E$51</f>
        <v>0.10806557595851875</v>
      </c>
      <c r="P10" s="163">
        <f t="shared" si="9"/>
        <v>3.3101889229775638E-2</v>
      </c>
      <c r="Q10" s="163">
        <f t="shared" si="4"/>
        <v>-8.6538461538461564E-2</v>
      </c>
      <c r="R10" s="175">
        <f t="shared" si="5"/>
        <v>-0.10206233931262731</v>
      </c>
      <c r="S10" s="167">
        <f t="shared" si="6"/>
        <v>1076637.6559275866</v>
      </c>
      <c r="T10" s="121">
        <f t="shared" si="10"/>
        <v>5.0000000000000001E-3</v>
      </c>
      <c r="U10" s="124">
        <f t="shared" si="7"/>
        <v>438261.04079208244</v>
      </c>
      <c r="V10" s="168">
        <f t="shared" si="11"/>
        <v>-0.20412467862525463</v>
      </c>
      <c r="W10" s="168">
        <f t="shared" si="8"/>
        <v>9.57825122622597E-2</v>
      </c>
      <c r="X10" s="169">
        <f>IF(V10&lt;=-10%,'1.Readmission Scaling'!$C$12,IF(V10&gt;=8%,'1.Readmission Scaling'!$C$31,'2.RRIP Modeling Results'!AD10*('1.Readmission Scaling'!$C$31/'1.Readmission Scaling'!$F$31)))</f>
        <v>0.01</v>
      </c>
      <c r="Y10" s="122">
        <f t="shared" si="12"/>
        <v>876522.08158416487</v>
      </c>
      <c r="Z10" s="169">
        <f>IF($V10&lt;='1.Readmission Scaling'!$B$5,'1.Readmission Scaling'!$D$12,IF($V10&gt;='1.Readmission Scaling'!$A$31,'1.Readmission Scaling'!$D$31,'2.RRIP Modeling Results'!$AD10*('1.Readmission Scaling'!$D$31/'1.Readmission Scaling'!$F$31)))</f>
        <v>5.0000000000000001E-3</v>
      </c>
      <c r="AA10" s="122">
        <f t="shared" si="13"/>
        <v>438261.04079208244</v>
      </c>
      <c r="AB10" s="169">
        <f>IF($V10&lt;='1.Readmission Scaling'!$B$5,'1.Readmission Scaling'!$E$12, IF($V10&lt;0,0,IF($V10&gt;='1.Readmission Scaling'!$A$31,'1.Readmission Scaling'!$E$31,'2.RRIP Modeling Results'!$AD10*('1.Readmission Scaling'!$E$31/'1.Readmission Scaling'!$F$31))))</f>
        <v>0.01</v>
      </c>
      <c r="AC10" s="122">
        <f t="shared" si="14"/>
        <v>876522.08158416487</v>
      </c>
      <c r="AD10" s="170">
        <f>V10-'1.Readmission Scaling'!$B$5</f>
        <v>-0.17172467862525462</v>
      </c>
    </row>
    <row r="11" spans="1:30" ht="16.95" customHeight="1">
      <c r="A11" s="160">
        <v>210063</v>
      </c>
      <c r="B11" s="161" t="s">
        <v>97</v>
      </c>
      <c r="C11" s="120">
        <f>VLOOKUP(A11,Revenue!$A$2:$C$47,3,0)</f>
        <v>216335127.85977465</v>
      </c>
      <c r="D11" s="162">
        <v>13821</v>
      </c>
      <c r="E11" s="162">
        <v>1435</v>
      </c>
      <c r="F11" s="163">
        <f t="shared" si="0"/>
        <v>0.10382750886332393</v>
      </c>
      <c r="G11" s="164">
        <v>1553.1</v>
      </c>
      <c r="H11" s="165">
        <f t="shared" si="1"/>
        <v>0.9239585345438156</v>
      </c>
      <c r="I11" s="163">
        <f>H11*'[1]2. CY2013 BASE READMISSIONS'!$E$51</f>
        <v>0.1155131704206597</v>
      </c>
      <c r="J11" s="162">
        <v>14025</v>
      </c>
      <c r="K11" s="162">
        <v>1271</v>
      </c>
      <c r="L11" s="163">
        <f t="shared" si="2"/>
        <v>9.0623885918003563E-2</v>
      </c>
      <c r="M11" s="164">
        <v>1528.1</v>
      </c>
      <c r="N11" s="165">
        <f t="shared" si="3"/>
        <v>0.83175184870100127</v>
      </c>
      <c r="O11" s="163">
        <f>N11*'[1]2. CY2013 BASE READMISSIONS'!$E$51</f>
        <v>0.10398550308768358</v>
      </c>
      <c r="P11" s="163">
        <f t="shared" si="9"/>
        <v>2.9710963991603334E-2</v>
      </c>
      <c r="Q11" s="163">
        <f t="shared" si="4"/>
        <v>-0.11428571428571432</v>
      </c>
      <c r="R11" s="166">
        <f t="shared" si="5"/>
        <v>-9.9795263959912783E-2</v>
      </c>
      <c r="S11" s="167">
        <f t="shared" si="6"/>
        <v>2493839.3864043374</v>
      </c>
      <c r="T11" s="121">
        <f t="shared" si="10"/>
        <v>5.0000000000000001E-3</v>
      </c>
      <c r="U11" s="122">
        <f t="shared" si="7"/>
        <v>1081675.6392988733</v>
      </c>
      <c r="V11" s="168">
        <f t="shared" si="11"/>
        <v>-0.19959052791982557</v>
      </c>
      <c r="W11" s="168">
        <f t="shared" si="8"/>
        <v>9.2457835754707451E-2</v>
      </c>
      <c r="X11" s="169">
        <f>IF(V11&lt;=-10%,'1.Readmission Scaling'!$C$12,IF(V11&gt;=8%,'1.Readmission Scaling'!$C$31,'2.RRIP Modeling Results'!AD11*('1.Readmission Scaling'!$C$31/'1.Readmission Scaling'!$F$31)))</f>
        <v>0.01</v>
      </c>
      <c r="Y11" s="122">
        <f t="shared" si="12"/>
        <v>2163351.2785977465</v>
      </c>
      <c r="Z11" s="169">
        <f>IF($V11&lt;='1.Readmission Scaling'!$B$5,'1.Readmission Scaling'!$D$12,IF($V11&gt;='1.Readmission Scaling'!$A$31,'1.Readmission Scaling'!$D$31,'2.RRIP Modeling Results'!$AD11*('1.Readmission Scaling'!$D$31/'1.Readmission Scaling'!$F$31)))</f>
        <v>5.0000000000000001E-3</v>
      </c>
      <c r="AA11" s="122">
        <f t="shared" si="13"/>
        <v>1081675.6392988733</v>
      </c>
      <c r="AB11" s="169">
        <f>IF($V11&lt;='1.Readmission Scaling'!$B$5,'1.Readmission Scaling'!$E$12, IF($V11&lt;0,0,IF($V11&gt;='1.Readmission Scaling'!$A$31,'1.Readmission Scaling'!$E$31,'2.RRIP Modeling Results'!$AD11*('1.Readmission Scaling'!$E$31/'1.Readmission Scaling'!$F$31))))</f>
        <v>0.01</v>
      </c>
      <c r="AC11" s="122">
        <f t="shared" si="14"/>
        <v>2163351.2785977465</v>
      </c>
      <c r="AD11" s="170">
        <f>V11-'1.Readmission Scaling'!$B$5</f>
        <v>-0.16719052791982555</v>
      </c>
    </row>
    <row r="12" spans="1:30" ht="16.95" customHeight="1">
      <c r="A12" s="160">
        <v>210055</v>
      </c>
      <c r="B12" s="161" t="s">
        <v>90</v>
      </c>
      <c r="C12" s="120">
        <f>VLOOKUP(A12,Revenue!$A$2:$C$47,3,0)</f>
        <v>77501975.342135206</v>
      </c>
      <c r="D12" s="162">
        <v>5222</v>
      </c>
      <c r="E12" s="162">
        <v>651</v>
      </c>
      <c r="F12" s="163">
        <f t="shared" si="0"/>
        <v>0.12466487935656836</v>
      </c>
      <c r="G12" s="164">
        <v>615.76</v>
      </c>
      <c r="H12" s="165">
        <f t="shared" si="1"/>
        <v>1.0572300896453164</v>
      </c>
      <c r="I12" s="163">
        <f>H12*'[1]2. CY2013 BASE READMISSIONS'!$E$51</f>
        <v>0.13217476212755028</v>
      </c>
      <c r="J12" s="162">
        <v>4165</v>
      </c>
      <c r="K12" s="162">
        <v>497</v>
      </c>
      <c r="L12" s="163">
        <f t="shared" si="2"/>
        <v>0.11932773109243698</v>
      </c>
      <c r="M12" s="164">
        <v>522.03</v>
      </c>
      <c r="N12" s="165">
        <f t="shared" si="3"/>
        <v>0.95205256402888727</v>
      </c>
      <c r="O12" s="163">
        <f>N12*'[1]2. CY2013 BASE READMISSIONS'!$E$51</f>
        <v>0.11902548216884264</v>
      </c>
      <c r="P12" s="163">
        <f t="shared" si="9"/>
        <v>-0.19754977029096477</v>
      </c>
      <c r="Q12" s="163">
        <f t="shared" si="4"/>
        <v>-0.23655913978494625</v>
      </c>
      <c r="R12" s="166">
        <f t="shared" si="5"/>
        <v>-9.9484044813475281E-2</v>
      </c>
      <c r="S12" s="167">
        <f t="shared" si="6"/>
        <v>1019095.1711265927</v>
      </c>
      <c r="T12" s="121">
        <f t="shared" si="10"/>
        <v>5.0000000000000001E-3</v>
      </c>
      <c r="U12" s="122">
        <f t="shared" si="7"/>
        <v>387509.87671067606</v>
      </c>
      <c r="V12" s="168">
        <f t="shared" si="11"/>
        <v>-0.19896808962695056</v>
      </c>
      <c r="W12" s="168">
        <f t="shared" si="8"/>
        <v>0.10587620221013498</v>
      </c>
      <c r="X12" s="169">
        <f>IF(V12&lt;=-10%,'1.Readmission Scaling'!$C$12,IF(V12&gt;=8%,'1.Readmission Scaling'!$C$31,'2.RRIP Modeling Results'!AD12*('1.Readmission Scaling'!$C$31/'1.Readmission Scaling'!$F$31)))</f>
        <v>0.01</v>
      </c>
      <c r="Y12" s="122">
        <f t="shared" si="12"/>
        <v>775019.75342135213</v>
      </c>
      <c r="Z12" s="169">
        <f>IF($V12&lt;='1.Readmission Scaling'!$B$5,'1.Readmission Scaling'!$D$12,IF($V12&gt;='1.Readmission Scaling'!$A$31,'1.Readmission Scaling'!$D$31,'2.RRIP Modeling Results'!$AD12*('1.Readmission Scaling'!$D$31/'1.Readmission Scaling'!$F$31)))</f>
        <v>5.0000000000000001E-3</v>
      </c>
      <c r="AA12" s="122">
        <f t="shared" si="13"/>
        <v>387509.87671067606</v>
      </c>
      <c r="AB12" s="169">
        <f>IF($V12&lt;='1.Readmission Scaling'!$B$5,'1.Readmission Scaling'!$E$12, IF($V12&lt;0,0,IF($V12&gt;='1.Readmission Scaling'!$A$31,'1.Readmission Scaling'!$E$31,'2.RRIP Modeling Results'!$AD12*('1.Readmission Scaling'!$E$31/'1.Readmission Scaling'!$F$31))))</f>
        <v>0.01</v>
      </c>
      <c r="AC12" s="122">
        <f t="shared" si="14"/>
        <v>775019.75342135213</v>
      </c>
      <c r="AD12" s="170">
        <f>V12-'1.Readmission Scaling'!$B$5</f>
        <v>-0.16656808962695055</v>
      </c>
    </row>
    <row r="13" spans="1:30" ht="16.95" customHeight="1">
      <c r="A13" s="160">
        <v>210011</v>
      </c>
      <c r="B13" s="161" t="s">
        <v>61</v>
      </c>
      <c r="C13" s="120">
        <f>VLOOKUP(A13,Revenue!$A$2:$C$47,3,0)</f>
        <v>239121555.83864471</v>
      </c>
      <c r="D13" s="162">
        <v>15311</v>
      </c>
      <c r="E13" s="162">
        <v>2038</v>
      </c>
      <c r="F13" s="163">
        <f t="shared" si="0"/>
        <v>0.13310691659591142</v>
      </c>
      <c r="G13" s="164">
        <v>1903.4</v>
      </c>
      <c r="H13" s="165">
        <f t="shared" si="1"/>
        <v>1.0707155616265629</v>
      </c>
      <c r="I13" s="163">
        <f>H13*'[1]2. CY2013 BASE READMISSIONS'!$E$51</f>
        <v>0.13386071400194025</v>
      </c>
      <c r="J13" s="162">
        <v>14601</v>
      </c>
      <c r="K13" s="162">
        <v>1789</v>
      </c>
      <c r="L13" s="163">
        <f t="shared" si="2"/>
        <v>0.12252585439353469</v>
      </c>
      <c r="M13" s="164">
        <v>1829.5</v>
      </c>
      <c r="N13" s="165">
        <f t="shared" si="3"/>
        <v>0.97786280404482095</v>
      </c>
      <c r="O13" s="163">
        <f>N13*'[1]2. CY2013 BASE READMISSIONS'!$E$51</f>
        <v>0.12225227486796597</v>
      </c>
      <c r="P13" s="163">
        <f t="shared" si="9"/>
        <v>-3.4732163037745845E-2</v>
      </c>
      <c r="Q13" s="163">
        <f t="shared" si="4"/>
        <v>-0.12217860647693812</v>
      </c>
      <c r="R13" s="166">
        <f t="shared" si="5"/>
        <v>-8.6720283994645486E-2</v>
      </c>
      <c r="S13" s="167">
        <f t="shared" si="6"/>
        <v>2775828.0265741381</v>
      </c>
      <c r="T13" s="121">
        <f t="shared" si="10"/>
        <v>5.0000000000000001E-3</v>
      </c>
      <c r="U13" s="122">
        <f t="shared" si="7"/>
        <v>1195607.7791932237</v>
      </c>
      <c r="V13" s="168">
        <f t="shared" si="11"/>
        <v>-0.17344056798929097</v>
      </c>
      <c r="W13" s="168">
        <f t="shared" si="8"/>
        <v>0.1106438357339917</v>
      </c>
      <c r="X13" s="169">
        <f>IF(V13&lt;=-10%,'1.Readmission Scaling'!$C$12,IF(V13&gt;=8%,'1.Readmission Scaling'!$C$31,'2.RRIP Modeling Results'!AD13*('1.Readmission Scaling'!$C$31/'1.Readmission Scaling'!$F$31)))</f>
        <v>0.01</v>
      </c>
      <c r="Y13" s="122">
        <f t="shared" si="12"/>
        <v>2391215.5583864474</v>
      </c>
      <c r="Z13" s="169">
        <f>IF($V13&lt;='1.Readmission Scaling'!$B$5,'1.Readmission Scaling'!$D$12,IF($V13&gt;='1.Readmission Scaling'!$A$31,'1.Readmission Scaling'!$D$31,'2.RRIP Modeling Results'!$AD13*('1.Readmission Scaling'!$D$31/'1.Readmission Scaling'!$F$31)))</f>
        <v>5.0000000000000001E-3</v>
      </c>
      <c r="AA13" s="122">
        <f t="shared" si="13"/>
        <v>1195607.7791932237</v>
      </c>
      <c r="AB13" s="169">
        <f>IF($V13&lt;='1.Readmission Scaling'!$B$5,'1.Readmission Scaling'!$E$12, IF($V13&lt;0,0,IF($V13&gt;='1.Readmission Scaling'!$A$31,'1.Readmission Scaling'!$E$31,'2.RRIP Modeling Results'!$AD13*('1.Readmission Scaling'!$E$31/'1.Readmission Scaling'!$F$31))))</f>
        <v>0.01</v>
      </c>
      <c r="AC13" s="122">
        <f t="shared" si="14"/>
        <v>2391215.5583864474</v>
      </c>
      <c r="AD13" s="170">
        <f>V13-'1.Readmission Scaling'!$B$5</f>
        <v>-0.14104056798929096</v>
      </c>
    </row>
    <row r="14" spans="1:30" ht="16.95" customHeight="1">
      <c r="A14" s="160">
        <v>210003</v>
      </c>
      <c r="B14" s="161" t="s">
        <v>54</v>
      </c>
      <c r="C14" s="120">
        <f>VLOOKUP(A14,Revenue!$A$2:$C$47,3,0)</f>
        <v>177243165.22063905</v>
      </c>
      <c r="D14" s="162">
        <v>9859</v>
      </c>
      <c r="E14" s="162">
        <v>928</v>
      </c>
      <c r="F14" s="163">
        <f t="shared" si="0"/>
        <v>9.4127193427325284E-2</v>
      </c>
      <c r="G14" s="164">
        <v>1152</v>
      </c>
      <c r="H14" s="165">
        <f t="shared" si="1"/>
        <v>0.80555555555555558</v>
      </c>
      <c r="I14" s="163">
        <f>H14*'[1]2. CY2013 BASE READMISSIONS'!$E$51</f>
        <v>0.10071044607877412</v>
      </c>
      <c r="J14" s="162">
        <v>10935</v>
      </c>
      <c r="K14" s="162">
        <v>963</v>
      </c>
      <c r="L14" s="163">
        <f t="shared" si="2"/>
        <v>8.8065843621399173E-2</v>
      </c>
      <c r="M14" s="164">
        <v>1308</v>
      </c>
      <c r="N14" s="165">
        <f t="shared" si="3"/>
        <v>0.73623853211009171</v>
      </c>
      <c r="O14" s="163">
        <f>N14*'[1]2. CY2013 BASE READMISSIONS'!$E$51</f>
        <v>9.2044441227959004E-2</v>
      </c>
      <c r="P14" s="172">
        <f t="shared" si="9"/>
        <v>0.11656029559959702</v>
      </c>
      <c r="Q14" s="177">
        <f t="shared" si="4"/>
        <v>3.7715517241379226E-2</v>
      </c>
      <c r="R14" s="166">
        <f t="shared" si="5"/>
        <v>-8.6048718759886178E-2</v>
      </c>
      <c r="S14" s="167">
        <f t="shared" si="6"/>
        <v>1535990.129575883</v>
      </c>
      <c r="T14" s="121">
        <f t="shared" si="10"/>
        <v>5.0000000000000001E-3</v>
      </c>
      <c r="U14" s="122">
        <f t="shared" si="7"/>
        <v>886215.82610319532</v>
      </c>
      <c r="V14" s="168">
        <f t="shared" si="11"/>
        <v>-0.17209743751977236</v>
      </c>
      <c r="W14" s="168">
        <f t="shared" si="8"/>
        <v>8.3378436377143886E-2</v>
      </c>
      <c r="X14" s="169">
        <f>IF(V14&lt;=-10%,'1.Readmission Scaling'!$C$12,IF(V14&gt;=8%,'1.Readmission Scaling'!$C$31,'2.RRIP Modeling Results'!AD14*('1.Readmission Scaling'!$C$31/'1.Readmission Scaling'!$F$31)))</f>
        <v>0.01</v>
      </c>
      <c r="Y14" s="122">
        <f t="shared" si="12"/>
        <v>1772431.6522063906</v>
      </c>
      <c r="Z14" s="169">
        <f>IF($V14&lt;='1.Readmission Scaling'!$B$5,'1.Readmission Scaling'!$D$12,IF($V14&gt;='1.Readmission Scaling'!$A$31,'1.Readmission Scaling'!$D$31,'2.RRIP Modeling Results'!$AD14*('1.Readmission Scaling'!$D$31/'1.Readmission Scaling'!$F$31)))</f>
        <v>5.0000000000000001E-3</v>
      </c>
      <c r="AA14" s="122">
        <f t="shared" si="13"/>
        <v>886215.82610319532</v>
      </c>
      <c r="AB14" s="169">
        <f>IF($V14&lt;='1.Readmission Scaling'!$B$5,'1.Readmission Scaling'!$E$12, IF($V14&lt;0,0,IF($V14&gt;='1.Readmission Scaling'!$A$31,'1.Readmission Scaling'!$E$31,'2.RRIP Modeling Results'!$AD14*('1.Readmission Scaling'!$E$31/'1.Readmission Scaling'!$F$31))))</f>
        <v>0.01</v>
      </c>
      <c r="AC14" s="122">
        <f t="shared" si="14"/>
        <v>1772431.6522063906</v>
      </c>
      <c r="AD14" s="170">
        <f>V14-'1.Readmission Scaling'!$B$5</f>
        <v>-0.13969743751977234</v>
      </c>
    </row>
    <row r="15" spans="1:30" ht="16.95" customHeight="1">
      <c r="A15" s="160">
        <v>210040</v>
      </c>
      <c r="B15" s="161" t="s">
        <v>83</v>
      </c>
      <c r="C15" s="120">
        <f>VLOOKUP(A15,Revenue!$A$2:$C$47,3,0)</f>
        <v>142186717.48751882</v>
      </c>
      <c r="D15" s="162">
        <v>7436</v>
      </c>
      <c r="E15" s="162">
        <v>1364</v>
      </c>
      <c r="F15" s="163">
        <f t="shared" si="0"/>
        <v>0.18343195266272189</v>
      </c>
      <c r="G15" s="164">
        <v>1200.0999999999999</v>
      </c>
      <c r="H15" s="165">
        <f t="shared" si="1"/>
        <v>1.1365719523373052</v>
      </c>
      <c r="I15" s="163">
        <f>H15*'[1]2. CY2013 BASE READMISSIONS'!$E$51</f>
        <v>0.14209407101856811</v>
      </c>
      <c r="J15" s="162">
        <v>8658</v>
      </c>
      <c r="K15" s="162">
        <v>1508</v>
      </c>
      <c r="L15" s="163">
        <f t="shared" si="2"/>
        <v>0.17417417417417416</v>
      </c>
      <c r="M15" s="164">
        <v>1450.7</v>
      </c>
      <c r="N15" s="165">
        <f t="shared" si="3"/>
        <v>1.0394981732956503</v>
      </c>
      <c r="O15" s="163">
        <f>N15*'[1]2. CY2013 BASE READMISSIONS'!$E$51</f>
        <v>0.12995792035532167</v>
      </c>
      <c r="P15" s="172">
        <f t="shared" si="9"/>
        <v>0.17753623188405787</v>
      </c>
      <c r="Q15" s="177">
        <f t="shared" si="4"/>
        <v>0.10557184750733128</v>
      </c>
      <c r="R15" s="166">
        <f t="shared" si="5"/>
        <v>-8.5409268495520552E-2</v>
      </c>
      <c r="S15" s="167">
        <f t="shared" si="6"/>
        <v>1725599.4257409868</v>
      </c>
      <c r="T15" s="121">
        <f t="shared" si="10"/>
        <v>5.0000000000000001E-3</v>
      </c>
      <c r="U15" s="122">
        <f t="shared" si="7"/>
        <v>710933.58743759408</v>
      </c>
      <c r="V15" s="168">
        <f t="shared" si="11"/>
        <v>-0.1708185369910411</v>
      </c>
      <c r="W15" s="168">
        <f t="shared" si="8"/>
        <v>0.11782176969207521</v>
      </c>
      <c r="X15" s="169">
        <f>IF(V15&lt;=-10%,'1.Readmission Scaling'!$C$12,IF(V15&gt;=8%,'1.Readmission Scaling'!$C$31,'2.RRIP Modeling Results'!AD15*('1.Readmission Scaling'!$C$31/'1.Readmission Scaling'!$F$31)))</f>
        <v>0.01</v>
      </c>
      <c r="Y15" s="122">
        <f t="shared" si="12"/>
        <v>1421867.1748751882</v>
      </c>
      <c r="Z15" s="169">
        <f>IF($V15&lt;='1.Readmission Scaling'!$B$5,'1.Readmission Scaling'!$D$12,IF($V15&gt;='1.Readmission Scaling'!$A$31,'1.Readmission Scaling'!$D$31,'2.RRIP Modeling Results'!$AD15*('1.Readmission Scaling'!$D$31/'1.Readmission Scaling'!$F$31)))</f>
        <v>5.0000000000000001E-3</v>
      </c>
      <c r="AA15" s="122">
        <f t="shared" si="13"/>
        <v>710933.58743759408</v>
      </c>
      <c r="AB15" s="169">
        <f>IF($V15&lt;='1.Readmission Scaling'!$B$5,'1.Readmission Scaling'!$E$12, IF($V15&lt;0,0,IF($V15&gt;='1.Readmission Scaling'!$A$31,'1.Readmission Scaling'!$E$31,'2.RRIP Modeling Results'!$AD15*('1.Readmission Scaling'!$E$31/'1.Readmission Scaling'!$F$31))))</f>
        <v>0.01</v>
      </c>
      <c r="AC15" s="122">
        <f t="shared" si="14"/>
        <v>1421867.1748751882</v>
      </c>
      <c r="AD15" s="170">
        <f>V15-'1.Readmission Scaling'!$B$5</f>
        <v>-0.13841853699104109</v>
      </c>
    </row>
    <row r="16" spans="1:30" ht="16.95" customHeight="1">
      <c r="A16" s="160">
        <v>210023</v>
      </c>
      <c r="B16" s="161" t="s">
        <v>70</v>
      </c>
      <c r="C16" s="120">
        <f>VLOOKUP(A16,Revenue!$A$2:$C$47,3,0)</f>
        <v>310117074.81392145</v>
      </c>
      <c r="D16" s="162">
        <v>26163</v>
      </c>
      <c r="E16" s="162">
        <v>2271</v>
      </c>
      <c r="F16" s="163">
        <f t="shared" si="0"/>
        <v>8.6801972250888662E-2</v>
      </c>
      <c r="G16" s="164">
        <v>2345.6999999999998</v>
      </c>
      <c r="H16" s="165">
        <f t="shared" si="1"/>
        <v>0.9681544954597775</v>
      </c>
      <c r="I16" s="163">
        <f>H16*'[1]2. CY2013 BASE READMISSIONS'!$E$51</f>
        <v>0.12103854344804443</v>
      </c>
      <c r="J16" s="162">
        <v>24849</v>
      </c>
      <c r="K16" s="162">
        <v>1965</v>
      </c>
      <c r="L16" s="163">
        <f t="shared" si="2"/>
        <v>7.907762887842569E-2</v>
      </c>
      <c r="M16" s="164">
        <v>2194</v>
      </c>
      <c r="N16" s="165">
        <f t="shared" si="3"/>
        <v>0.89562443026435734</v>
      </c>
      <c r="O16" s="163">
        <f>N16*'[1]2. CY2013 BASE READMISSIONS'!$E$51</f>
        <v>0.11197084455430927</v>
      </c>
      <c r="P16" s="163">
        <f t="shared" si="9"/>
        <v>-4.218985434455047E-2</v>
      </c>
      <c r="Q16" s="163">
        <f t="shared" si="4"/>
        <v>-0.13474240422721273</v>
      </c>
      <c r="R16" s="166">
        <f t="shared" si="5"/>
        <v>-7.4915796534080537E-2</v>
      </c>
      <c r="S16" s="167">
        <f t="shared" si="6"/>
        <v>2812048.2562185805</v>
      </c>
      <c r="T16" s="121">
        <f t="shared" si="10"/>
        <v>5.0000000000000001E-3</v>
      </c>
      <c r="U16" s="122">
        <f t="shared" si="7"/>
        <v>1550585.3740696074</v>
      </c>
      <c r="V16" s="168">
        <f t="shared" si="11"/>
        <v>-0.14983159306816107</v>
      </c>
      <c r="W16" s="168">
        <f t="shared" si="8"/>
        <v>0.10290314566057411</v>
      </c>
      <c r="X16" s="169">
        <f>IF(V16&lt;=-10%,'1.Readmission Scaling'!$C$12,IF(V16&gt;=8%,'1.Readmission Scaling'!$C$31,'2.RRIP Modeling Results'!AD16*('1.Readmission Scaling'!$C$31/'1.Readmission Scaling'!$F$31)))</f>
        <v>0.01</v>
      </c>
      <c r="Y16" s="122">
        <f t="shared" si="12"/>
        <v>3101170.7481392147</v>
      </c>
      <c r="Z16" s="169">
        <f>IF($V16&lt;='1.Readmission Scaling'!$B$5,'1.Readmission Scaling'!$D$12,IF($V16&gt;='1.Readmission Scaling'!$A$31,'1.Readmission Scaling'!$D$31,'2.RRIP Modeling Results'!$AD16*('1.Readmission Scaling'!$D$31/'1.Readmission Scaling'!$F$31)))</f>
        <v>5.0000000000000001E-3</v>
      </c>
      <c r="AA16" s="122">
        <f t="shared" si="13"/>
        <v>1550585.3740696074</v>
      </c>
      <c r="AB16" s="169">
        <f>IF($V16&lt;='1.Readmission Scaling'!$B$5,'1.Readmission Scaling'!$E$12, IF($V16&lt;0,0,IF($V16&gt;='1.Readmission Scaling'!$A$31,'1.Readmission Scaling'!$E$31,'2.RRIP Modeling Results'!$AD16*('1.Readmission Scaling'!$E$31/'1.Readmission Scaling'!$F$31))))</f>
        <v>0.01</v>
      </c>
      <c r="AC16" s="122">
        <f t="shared" si="14"/>
        <v>3101170.7481392147</v>
      </c>
      <c r="AD16" s="170">
        <f>V16-'1.Readmission Scaling'!$B$5</f>
        <v>-0.11743159306816106</v>
      </c>
    </row>
    <row r="17" spans="1:30" ht="16.95" customHeight="1">
      <c r="A17" s="160">
        <v>210008</v>
      </c>
      <c r="B17" s="161" t="s">
        <v>58</v>
      </c>
      <c r="C17" s="120">
        <f>VLOOKUP(A17,Revenue!$A$2:$C$47,3,0)</f>
        <v>233163593.66479388</v>
      </c>
      <c r="D17" s="162">
        <v>16043</v>
      </c>
      <c r="E17" s="162">
        <v>1726</v>
      </c>
      <c r="F17" s="163">
        <f t="shared" si="0"/>
        <v>0.10758586299320576</v>
      </c>
      <c r="G17" s="164">
        <v>1532.1</v>
      </c>
      <c r="H17" s="165">
        <f t="shared" si="1"/>
        <v>1.126558318647608</v>
      </c>
      <c r="I17" s="163">
        <f>H17*'[1]2. CY2013 BASE READMISSIONS'!$E$51</f>
        <v>0.14084216789555715</v>
      </c>
      <c r="J17" s="162">
        <v>13726</v>
      </c>
      <c r="K17" s="162">
        <v>1288</v>
      </c>
      <c r="L17" s="163">
        <f t="shared" si="2"/>
        <v>9.3836514643741806E-2</v>
      </c>
      <c r="M17" s="164">
        <v>1235</v>
      </c>
      <c r="N17" s="165">
        <f t="shared" si="3"/>
        <v>1.0429149797570849</v>
      </c>
      <c r="O17" s="163">
        <f>N17*'[1]2. CY2013 BASE READMISSIONS'!$E$51</f>
        <v>0.13038508903477866</v>
      </c>
      <c r="P17" s="163">
        <f t="shared" si="9"/>
        <v>-0.13124257875253198</v>
      </c>
      <c r="Q17" s="163">
        <f t="shared" si="4"/>
        <v>-0.25376593279258397</v>
      </c>
      <c r="R17" s="166">
        <f t="shared" si="5"/>
        <v>-7.4246789985035089E-2</v>
      </c>
      <c r="S17" s="167">
        <f t="shared" si="6"/>
        <v>2438210.0864152596</v>
      </c>
      <c r="T17" s="121">
        <f t="shared" si="10"/>
        <v>5.0000000000000001E-3</v>
      </c>
      <c r="U17" s="122">
        <f t="shared" si="7"/>
        <v>1165817.9683239695</v>
      </c>
      <c r="V17" s="168">
        <f t="shared" si="11"/>
        <v>-0.14849357997007018</v>
      </c>
      <c r="W17" s="168">
        <f t="shared" si="8"/>
        <v>0.11992801017400018</v>
      </c>
      <c r="X17" s="169">
        <f>IF(V17&lt;=-10%,'1.Readmission Scaling'!$C$12,IF(V17&gt;=8%,'1.Readmission Scaling'!$C$31,'2.RRIP Modeling Results'!AD17*('1.Readmission Scaling'!$C$31/'1.Readmission Scaling'!$F$31)))</f>
        <v>0.01</v>
      </c>
      <c r="Y17" s="122">
        <f t="shared" si="12"/>
        <v>2331635.936647939</v>
      </c>
      <c r="Z17" s="169">
        <f>IF($V17&lt;='1.Readmission Scaling'!$B$5,'1.Readmission Scaling'!$D$12,IF($V17&gt;='1.Readmission Scaling'!$A$31,'1.Readmission Scaling'!$D$31,'2.RRIP Modeling Results'!$AD17*('1.Readmission Scaling'!$D$31/'1.Readmission Scaling'!$F$31)))</f>
        <v>5.0000000000000001E-3</v>
      </c>
      <c r="AA17" s="122">
        <f t="shared" si="13"/>
        <v>1165817.9683239695</v>
      </c>
      <c r="AB17" s="169">
        <f>IF($V17&lt;='1.Readmission Scaling'!$B$5,'1.Readmission Scaling'!$E$12, IF($V17&lt;0,0,IF($V17&gt;='1.Readmission Scaling'!$A$31,'1.Readmission Scaling'!$E$31,'2.RRIP Modeling Results'!$AD17*('1.Readmission Scaling'!$E$31/'1.Readmission Scaling'!$F$31))))</f>
        <v>0.01</v>
      </c>
      <c r="AC17" s="122">
        <f t="shared" si="14"/>
        <v>2331635.936647939</v>
      </c>
      <c r="AD17" s="170">
        <f>V17-'1.Readmission Scaling'!$B$5</f>
        <v>-0.11609357997007017</v>
      </c>
    </row>
    <row r="18" spans="1:30" ht="16.95" customHeight="1">
      <c r="A18" s="160">
        <v>210012</v>
      </c>
      <c r="B18" s="161" t="s">
        <v>62</v>
      </c>
      <c r="C18" s="120">
        <f>VLOOKUP(A18,Revenue!$A$2:$C$47,3,0)</f>
        <v>429154678.73181057</v>
      </c>
      <c r="D18" s="162">
        <v>20916</v>
      </c>
      <c r="E18" s="162">
        <v>3015</v>
      </c>
      <c r="F18" s="163">
        <f t="shared" si="0"/>
        <v>0.14414802065404475</v>
      </c>
      <c r="G18" s="164">
        <v>2775.1</v>
      </c>
      <c r="H18" s="165">
        <f t="shared" si="1"/>
        <v>1.0864473352311628</v>
      </c>
      <c r="I18" s="163">
        <f>H18*'[1]2. CY2013 BASE READMISSIONS'!$E$51</f>
        <v>0.1358274982000045</v>
      </c>
      <c r="J18" s="162">
        <v>20076</v>
      </c>
      <c r="K18" s="162">
        <v>2629</v>
      </c>
      <c r="L18" s="163">
        <f t="shared" si="2"/>
        <v>0.13095238095238096</v>
      </c>
      <c r="M18" s="164">
        <v>2584.6999999999998</v>
      </c>
      <c r="N18" s="165">
        <f t="shared" si="3"/>
        <v>1.0171393198436958</v>
      </c>
      <c r="O18" s="163">
        <f>N18*'[1]2. CY2013 BASE READMISSIONS'!$E$51</f>
        <v>0.12716261953537594</v>
      </c>
      <c r="P18" s="163">
        <f t="shared" si="9"/>
        <v>-2.5361711636221473E-2</v>
      </c>
      <c r="Q18" s="163">
        <f t="shared" si="4"/>
        <v>-0.12802653399668329</v>
      </c>
      <c r="R18" s="166">
        <f t="shared" si="5"/>
        <v>-6.379325820953885E-2</v>
      </c>
      <c r="S18" s="167">
        <f t="shared" si="6"/>
        <v>3718573.2195687899</v>
      </c>
      <c r="T18" s="121">
        <f t="shared" si="10"/>
        <v>0</v>
      </c>
      <c r="U18" s="122">
        <f t="shared" si="7"/>
        <v>0</v>
      </c>
      <c r="V18" s="168">
        <f t="shared" si="11"/>
        <v>-0.1275865164190777</v>
      </c>
      <c r="W18" s="168">
        <f t="shared" si="8"/>
        <v>0.11849774087074738</v>
      </c>
      <c r="X18" s="169">
        <f>IF(V18&lt;=-10%,'1.Readmission Scaling'!$C$12,IF(V18&gt;=8%,'1.Readmission Scaling'!$C$31,'2.RRIP Modeling Results'!AD18*('1.Readmission Scaling'!$C$31/'1.Readmission Scaling'!$F$31)))</f>
        <v>0.01</v>
      </c>
      <c r="Y18" s="122">
        <f t="shared" si="12"/>
        <v>4291546.7873181058</v>
      </c>
      <c r="Z18" s="169">
        <f>IF($V18&lt;='1.Readmission Scaling'!$B$5,'1.Readmission Scaling'!$D$12,IF($V18&gt;='1.Readmission Scaling'!$A$31,'1.Readmission Scaling'!$D$31,'2.RRIP Modeling Results'!$AD18*('1.Readmission Scaling'!$D$31/'1.Readmission Scaling'!$F$31)))</f>
        <v>5.0000000000000001E-3</v>
      </c>
      <c r="AA18" s="122">
        <f t="shared" si="13"/>
        <v>2145773.3936590529</v>
      </c>
      <c r="AB18" s="169">
        <f>IF($V18&lt;='1.Readmission Scaling'!$B$5,'1.Readmission Scaling'!$E$12, IF($V18&lt;0,0,IF($V18&gt;='1.Readmission Scaling'!$A$31,'1.Readmission Scaling'!$E$31,'2.RRIP Modeling Results'!$AD18*('1.Readmission Scaling'!$E$31/'1.Readmission Scaling'!$F$31))))</f>
        <v>0.01</v>
      </c>
      <c r="AC18" s="122">
        <f t="shared" si="14"/>
        <v>4291546.7873181058</v>
      </c>
      <c r="AD18" s="170">
        <f>V18-'1.Readmission Scaling'!$B$5</f>
        <v>-9.5186516419077688E-2</v>
      </c>
    </row>
    <row r="19" spans="1:30" ht="16.95" customHeight="1">
      <c r="A19" s="160">
        <v>210038</v>
      </c>
      <c r="B19" s="161" t="s">
        <v>81</v>
      </c>
      <c r="C19" s="120">
        <f>VLOOKUP(A19,Revenue!$A$2:$C$47,3,0)</f>
        <v>133787810.98689511</v>
      </c>
      <c r="D19" s="162">
        <v>5309</v>
      </c>
      <c r="E19" s="162">
        <v>1215</v>
      </c>
      <c r="F19" s="163">
        <f t="shared" si="0"/>
        <v>0.22885665850442644</v>
      </c>
      <c r="G19" s="164">
        <v>943.56</v>
      </c>
      <c r="H19" s="165">
        <f t="shared" si="1"/>
        <v>1.2876764593666541</v>
      </c>
      <c r="I19" s="163">
        <f>H19*'[1]2. CY2013 BASE READMISSIONS'!$E$51</f>
        <v>0.16098513595194064</v>
      </c>
      <c r="J19" s="162">
        <v>4427</v>
      </c>
      <c r="K19" s="162">
        <v>1060</v>
      </c>
      <c r="L19" s="163">
        <f t="shared" si="2"/>
        <v>0.23943980121978767</v>
      </c>
      <c r="M19" s="164">
        <v>876.77</v>
      </c>
      <c r="N19" s="165">
        <f t="shared" si="3"/>
        <v>1.2089829715889002</v>
      </c>
      <c r="O19" s="163">
        <f>N19*'[1]2. CY2013 BASE READMISSIONS'!$E$51</f>
        <v>0.15114688680458488</v>
      </c>
      <c r="P19" s="163">
        <f t="shared" si="9"/>
        <v>-0.17757694186614559</v>
      </c>
      <c r="Q19" s="163">
        <f t="shared" si="4"/>
        <v>-0.12757201646090532</v>
      </c>
      <c r="R19" s="166">
        <f t="shared" si="5"/>
        <v>-6.111277969347928E-2</v>
      </c>
      <c r="S19" s="167">
        <f t="shared" si="6"/>
        <v>1316237.8173684143</v>
      </c>
      <c r="T19" s="121">
        <f t="shared" si="10"/>
        <v>0</v>
      </c>
      <c r="U19" s="122">
        <f t="shared" si="7"/>
        <v>0</v>
      </c>
      <c r="V19" s="168">
        <f t="shared" si="11"/>
        <v>-0.12222555938695856</v>
      </c>
      <c r="W19" s="168">
        <f t="shared" si="8"/>
        <v>0.14130863765722912</v>
      </c>
      <c r="X19" s="169">
        <f>IF(V19&lt;=-10%,'1.Readmission Scaling'!$C$12,IF(V19&gt;=8%,'1.Readmission Scaling'!$C$31,'2.RRIP Modeling Results'!AD19*('1.Readmission Scaling'!$C$31/'1.Readmission Scaling'!$F$31)))</f>
        <v>0.01</v>
      </c>
      <c r="Y19" s="122">
        <f t="shared" si="12"/>
        <v>1337878.1098689511</v>
      </c>
      <c r="Z19" s="169">
        <f>IF($V19&lt;='1.Readmission Scaling'!$B$5,'1.Readmission Scaling'!$D$12,IF($V19&gt;='1.Readmission Scaling'!$A$31,'1.Readmission Scaling'!$D$31,'2.RRIP Modeling Results'!$AD19*('1.Readmission Scaling'!$D$31/'1.Readmission Scaling'!$F$31)))</f>
        <v>5.0000000000000001E-3</v>
      </c>
      <c r="AA19" s="122">
        <f t="shared" si="13"/>
        <v>668939.05493447557</v>
      </c>
      <c r="AB19" s="169">
        <f>IF($V19&lt;='1.Readmission Scaling'!$B$5,'1.Readmission Scaling'!$E$12, IF($V19&lt;0,0,IF($V19&gt;='1.Readmission Scaling'!$A$31,'1.Readmission Scaling'!$E$31,'2.RRIP Modeling Results'!$AD19*('1.Readmission Scaling'!$E$31/'1.Readmission Scaling'!$F$31))))</f>
        <v>0.01</v>
      </c>
      <c r="AC19" s="122">
        <f t="shared" si="14"/>
        <v>1337878.1098689511</v>
      </c>
      <c r="AD19" s="170">
        <f>V19-'1.Readmission Scaling'!$B$5</f>
        <v>-8.9825559386958548E-2</v>
      </c>
    </row>
    <row r="20" spans="1:30" ht="16.95" customHeight="1">
      <c r="A20" s="160">
        <v>210044</v>
      </c>
      <c r="B20" s="161" t="s">
        <v>85</v>
      </c>
      <c r="C20" s="120">
        <f>VLOOKUP(A20,Revenue!$A$2:$C$47,3,0)</f>
        <v>201533345.32362995</v>
      </c>
      <c r="D20" s="162">
        <v>16648</v>
      </c>
      <c r="E20" s="162">
        <v>1366</v>
      </c>
      <c r="F20" s="163">
        <f t="shared" si="0"/>
        <v>8.205189812590101E-2</v>
      </c>
      <c r="G20" s="164">
        <v>1604.7</v>
      </c>
      <c r="H20" s="165">
        <f t="shared" si="1"/>
        <v>0.85124945472674018</v>
      </c>
      <c r="I20" s="163">
        <f>H20*'[1]2. CY2013 BASE READMISSIONS'!$E$51</f>
        <v>0.10642309114325367</v>
      </c>
      <c r="J20" s="162">
        <v>16618</v>
      </c>
      <c r="K20" s="162">
        <v>1229</v>
      </c>
      <c r="L20" s="163">
        <f t="shared" si="2"/>
        <v>7.3955951378023826E-2</v>
      </c>
      <c r="M20" s="164">
        <v>1525</v>
      </c>
      <c r="N20" s="165">
        <f t="shared" si="3"/>
        <v>0.80590163934426229</v>
      </c>
      <c r="O20" s="163">
        <f>N20*'[1]2. CY2013 BASE READMISSIONS'!$E$51</f>
        <v>0.10075371342700469</v>
      </c>
      <c r="P20" s="163">
        <f t="shared" si="9"/>
        <v>7.0017013479910517E-3</v>
      </c>
      <c r="Q20" s="163">
        <f t="shared" si="4"/>
        <v>-0.1002928257686676</v>
      </c>
      <c r="R20" s="166">
        <f t="shared" si="5"/>
        <v>-5.3272063941626757E-2</v>
      </c>
      <c r="S20" s="167">
        <f t="shared" si="6"/>
        <v>1142568.6570588986</v>
      </c>
      <c r="T20" s="121">
        <f t="shared" si="10"/>
        <v>0</v>
      </c>
      <c r="U20" s="122">
        <f t="shared" si="7"/>
        <v>0</v>
      </c>
      <c r="V20" s="168">
        <f t="shared" si="11"/>
        <v>-0.10654412788325351</v>
      </c>
      <c r="W20" s="168">
        <f t="shared" si="8"/>
        <v>9.508433571075571E-2</v>
      </c>
      <c r="X20" s="169">
        <f>IF(V20&lt;=-10%,'1.Readmission Scaling'!$C$12,IF(V20&gt;=8%,'1.Readmission Scaling'!$C$31,'2.RRIP Modeling Results'!AD20*('1.Readmission Scaling'!$C$31/'1.Readmission Scaling'!$F$31)))</f>
        <v>0.01</v>
      </c>
      <c r="Y20" s="122">
        <f t="shared" si="12"/>
        <v>2015333.4532362996</v>
      </c>
      <c r="Z20" s="169">
        <f>IF($V20&lt;='1.Readmission Scaling'!$B$5,'1.Readmission Scaling'!$D$12,IF($V20&gt;='1.Readmission Scaling'!$A$31,'1.Readmission Scaling'!$D$31,'2.RRIP Modeling Results'!$AD20*('1.Readmission Scaling'!$D$31/'1.Readmission Scaling'!$F$31)))</f>
        <v>5.0000000000000001E-3</v>
      </c>
      <c r="AA20" s="122">
        <f t="shared" si="13"/>
        <v>1007666.7266181498</v>
      </c>
      <c r="AB20" s="169">
        <f>IF($V20&lt;='1.Readmission Scaling'!$B$5,'1.Readmission Scaling'!$E$12, IF($V20&lt;0,0,IF($V20&gt;='1.Readmission Scaling'!$A$31,'1.Readmission Scaling'!$E$31,'2.RRIP Modeling Results'!$AD20*('1.Readmission Scaling'!$E$31/'1.Readmission Scaling'!$F$31))))</f>
        <v>0.01</v>
      </c>
      <c r="AC20" s="122">
        <f t="shared" si="14"/>
        <v>2015333.4532362996</v>
      </c>
      <c r="AD20" s="170">
        <f>V20-'1.Readmission Scaling'!$B$5</f>
        <v>-7.4144127883253502E-2</v>
      </c>
    </row>
    <row r="21" spans="1:30" ht="16.95" customHeight="1">
      <c r="A21" s="160">
        <v>210027</v>
      </c>
      <c r="B21" s="161" t="s">
        <v>72</v>
      </c>
      <c r="C21" s="120">
        <f>VLOOKUP(A21,Revenue!$A$2:$C$47,3,0)</f>
        <v>184484265.97300443</v>
      </c>
      <c r="D21" s="162">
        <v>10508</v>
      </c>
      <c r="E21" s="162">
        <v>1273</v>
      </c>
      <c r="F21" s="163">
        <f t="shared" si="0"/>
        <v>0.12114579368100495</v>
      </c>
      <c r="G21" s="164">
        <v>1321.1</v>
      </c>
      <c r="H21" s="165">
        <f t="shared" si="1"/>
        <v>0.96359094693815761</v>
      </c>
      <c r="I21" s="163">
        <f>H21*'[1]2. CY2013 BASE READMISSIONS'!$E$51</f>
        <v>0.12046800923206785</v>
      </c>
      <c r="J21" s="162">
        <v>9928</v>
      </c>
      <c r="K21" s="162">
        <v>1172</v>
      </c>
      <c r="L21" s="163">
        <f t="shared" si="2"/>
        <v>0.11804995970991136</v>
      </c>
      <c r="M21" s="164">
        <v>1282.5999999999999</v>
      </c>
      <c r="N21" s="165">
        <f t="shared" si="3"/>
        <v>0.91376890690784351</v>
      </c>
      <c r="O21" s="163">
        <f>N21*'[1]2. CY2013 BASE READMISSIONS'!$E$51</f>
        <v>0.1142392645584034</v>
      </c>
      <c r="P21" s="163">
        <f t="shared" si="9"/>
        <v>-5.1867893881970772E-2</v>
      </c>
      <c r="Q21" s="163">
        <f t="shared" si="4"/>
        <v>-7.9340141398271835E-2</v>
      </c>
      <c r="R21" s="166">
        <f t="shared" si="5"/>
        <v>-5.1704553875921433E-2</v>
      </c>
      <c r="S21" s="167">
        <f t="shared" si="6"/>
        <v>1149105.3890542476</v>
      </c>
      <c r="T21" s="121">
        <f t="shared" si="10"/>
        <v>0</v>
      </c>
      <c r="U21" s="122">
        <f t="shared" si="7"/>
        <v>0</v>
      </c>
      <c r="V21" s="168">
        <f t="shared" si="11"/>
        <v>-0.10340910775184287</v>
      </c>
      <c r="W21" s="168">
        <f t="shared" si="8"/>
        <v>0.10801051988473895</v>
      </c>
      <c r="X21" s="169">
        <f>IF(V21&lt;=-10%,'1.Readmission Scaling'!$C$12,IF(V21&gt;=8%,'1.Readmission Scaling'!$C$31,'2.RRIP Modeling Results'!AD21*('1.Readmission Scaling'!$C$31/'1.Readmission Scaling'!$F$31)))</f>
        <v>0.01</v>
      </c>
      <c r="Y21" s="122">
        <f t="shared" si="12"/>
        <v>1844842.6597300444</v>
      </c>
      <c r="Z21" s="169">
        <f>IF($V21&lt;='1.Readmission Scaling'!$B$5,'1.Readmission Scaling'!$D$12,IF($V21&gt;='1.Readmission Scaling'!$A$31,'1.Readmission Scaling'!$D$31,'2.RRIP Modeling Results'!$AD21*('1.Readmission Scaling'!$D$31/'1.Readmission Scaling'!$F$31)))</f>
        <v>5.0000000000000001E-3</v>
      </c>
      <c r="AA21" s="122">
        <f t="shared" si="13"/>
        <v>922421.32986502221</v>
      </c>
      <c r="AB21" s="169">
        <f>IF($V21&lt;='1.Readmission Scaling'!$B$5,'1.Readmission Scaling'!$E$12, IF($V21&lt;0,0,IF($V21&gt;='1.Readmission Scaling'!$A$31,'1.Readmission Scaling'!$E$31,'2.RRIP Modeling Results'!$AD21*('1.Readmission Scaling'!$E$31/'1.Readmission Scaling'!$F$31))))</f>
        <v>0.01</v>
      </c>
      <c r="AC21" s="122">
        <f t="shared" si="14"/>
        <v>1844842.6597300444</v>
      </c>
      <c r="AD21" s="170">
        <f>V21-'1.Readmission Scaling'!$B$5</f>
        <v>-7.1009107751842854E-2</v>
      </c>
    </row>
    <row r="22" spans="1:30" ht="16.95" customHeight="1">
      <c r="A22" s="160">
        <v>210029</v>
      </c>
      <c r="B22" s="161" t="s">
        <v>74</v>
      </c>
      <c r="C22" s="120">
        <f>VLOOKUP(A22,Revenue!$A$2:$C$47,3,0)</f>
        <v>356396901.46731883</v>
      </c>
      <c r="D22" s="162">
        <v>17075</v>
      </c>
      <c r="E22" s="162">
        <v>2749</v>
      </c>
      <c r="F22" s="163">
        <f t="shared" si="0"/>
        <v>0.16099560761346998</v>
      </c>
      <c r="G22" s="164">
        <v>2360.9</v>
      </c>
      <c r="H22" s="165">
        <f t="shared" si="1"/>
        <v>1.1643864627896141</v>
      </c>
      <c r="I22" s="163">
        <f>H22*'[1]2. CY2013 BASE READMISSIONS'!$E$51</f>
        <v>0.14557143733526229</v>
      </c>
      <c r="J22" s="162">
        <v>16280</v>
      </c>
      <c r="K22" s="162">
        <v>2458</v>
      </c>
      <c r="L22" s="163">
        <f t="shared" si="2"/>
        <v>0.15098280098280098</v>
      </c>
      <c r="M22" s="164">
        <v>2223.8000000000002</v>
      </c>
      <c r="N22" s="165">
        <f t="shared" si="3"/>
        <v>1.1053152261894055</v>
      </c>
      <c r="O22" s="163">
        <f>N22*'[1]2. CY2013 BASE READMISSIONS'!$E$51</f>
        <v>0.13818635936341589</v>
      </c>
      <c r="P22" s="163">
        <f t="shared" si="9"/>
        <v>-3.5180790171715715E-2</v>
      </c>
      <c r="Q22" s="163">
        <f t="shared" si="4"/>
        <v>-0.10585667515460162</v>
      </c>
      <c r="R22" s="166">
        <f t="shared" si="5"/>
        <v>-5.0731641502158142E-2</v>
      </c>
      <c r="S22" s="167">
        <f t="shared" si="6"/>
        <v>2632018.9062606101</v>
      </c>
      <c r="T22" s="121">
        <f t="shared" si="10"/>
        <v>0</v>
      </c>
      <c r="U22" s="122">
        <f t="shared" si="7"/>
        <v>0</v>
      </c>
      <c r="V22" s="168">
        <f t="shared" si="11"/>
        <v>-0.10146328300431628</v>
      </c>
      <c r="W22" s="168">
        <f t="shared" si="8"/>
        <v>0.13080128139156949</v>
      </c>
      <c r="X22" s="169">
        <f>IF(V22&lt;=-10%,'1.Readmission Scaling'!$C$12,IF(V22&gt;=8%,'1.Readmission Scaling'!$C$31,'2.RRIP Modeling Results'!AD22*('1.Readmission Scaling'!$C$31/'1.Readmission Scaling'!$F$31)))</f>
        <v>0.01</v>
      </c>
      <c r="Y22" s="122">
        <f t="shared" si="12"/>
        <v>3563969.0146731883</v>
      </c>
      <c r="Z22" s="169">
        <f>IF($V22&lt;='1.Readmission Scaling'!$B$5,'1.Readmission Scaling'!$D$12,IF($V22&gt;='1.Readmission Scaling'!$A$31,'1.Readmission Scaling'!$D$31,'2.RRIP Modeling Results'!$AD22*('1.Readmission Scaling'!$D$31/'1.Readmission Scaling'!$F$31)))</f>
        <v>5.0000000000000001E-3</v>
      </c>
      <c r="AA22" s="122">
        <f t="shared" si="13"/>
        <v>1781984.5073365942</v>
      </c>
      <c r="AB22" s="169">
        <f>IF($V22&lt;='1.Readmission Scaling'!$B$5,'1.Readmission Scaling'!$E$12, IF($V22&lt;0,0,IF($V22&gt;='1.Readmission Scaling'!$A$31,'1.Readmission Scaling'!$E$31,'2.RRIP Modeling Results'!$AD22*('1.Readmission Scaling'!$E$31/'1.Readmission Scaling'!$F$31))))</f>
        <v>0.01</v>
      </c>
      <c r="AC22" s="122">
        <f t="shared" si="14"/>
        <v>3563969.0146731883</v>
      </c>
      <c r="AD22" s="170">
        <f>V22-'1.Readmission Scaling'!$B$5</f>
        <v>-6.9063283004316273E-2</v>
      </c>
    </row>
    <row r="23" spans="1:30" ht="16.95" customHeight="1">
      <c r="A23" s="160">
        <v>210017</v>
      </c>
      <c r="B23" s="161" t="s">
        <v>66</v>
      </c>
      <c r="C23" s="120">
        <f>VLOOKUP(A23,Revenue!$A$2:$C$47,3,0)</f>
        <v>18724073.644907132</v>
      </c>
      <c r="D23" s="162">
        <v>1829</v>
      </c>
      <c r="E23" s="162">
        <v>110</v>
      </c>
      <c r="F23" s="163">
        <f t="shared" si="0"/>
        <v>6.0142154182613448E-2</v>
      </c>
      <c r="G23" s="164">
        <v>193.6</v>
      </c>
      <c r="H23" s="165">
        <f t="shared" si="1"/>
        <v>0.56818181818181823</v>
      </c>
      <c r="I23" s="163">
        <f>H23*'[1]2. CY2013 BASE READMISSIONS'!$E$51</f>
        <v>7.103401369192533E-2</v>
      </c>
      <c r="J23" s="162">
        <v>1748</v>
      </c>
      <c r="K23" s="162">
        <v>100</v>
      </c>
      <c r="L23" s="163">
        <f t="shared" si="2"/>
        <v>5.7208237986270026E-2</v>
      </c>
      <c r="M23" s="164">
        <v>184.76</v>
      </c>
      <c r="N23" s="165">
        <f t="shared" si="3"/>
        <v>0.54124269322364149</v>
      </c>
      <c r="O23" s="163">
        <f>N23*'[1]2. CY2013 BASE READMISSIONS'!$E$51</f>
        <v>6.7666087950740722E-2</v>
      </c>
      <c r="P23" s="163">
        <f t="shared" si="9"/>
        <v>-4.1303083187899992E-2</v>
      </c>
      <c r="Q23" s="163">
        <f t="shared" si="4"/>
        <v>-9.0909090909090939E-2</v>
      </c>
      <c r="R23" s="166">
        <f t="shared" si="5"/>
        <v>-4.7412859926391215E-2</v>
      </c>
      <c r="S23" s="167">
        <f t="shared" si="6"/>
        <v>63061.289608519095</v>
      </c>
      <c r="T23" s="121">
        <f t="shared" si="10"/>
        <v>0</v>
      </c>
      <c r="U23" s="122">
        <f t="shared" si="7"/>
        <v>0</v>
      </c>
      <c r="V23" s="168">
        <f t="shared" si="11"/>
        <v>-9.4825719852782431E-2</v>
      </c>
      <c r="W23" s="168">
        <f t="shared" si="8"/>
        <v>6.4298162209556101E-2</v>
      </c>
      <c r="X23" s="178">
        <f>IF(V23&lt;=-10%,'1.Readmission Scaling'!$C$12,IF(V23&gt;=8%,'1.Readmission Scaling'!$C$31,'2.RRIP Modeling Results'!AD23*('1.Readmission Scaling'!$C$31/'1.Readmission Scaling'!$F$31)))</f>
        <v>1.1107779333235304E-2</v>
      </c>
      <c r="Y23" s="122">
        <f t="shared" si="12"/>
        <v>207982.87826687525</v>
      </c>
      <c r="Z23" s="178">
        <f>IF($V23&lt;='1.Readmission Scaling'!$B$5,'1.Readmission Scaling'!$D$12,IF($V23&gt;='1.Readmission Scaling'!$A$31,'1.Readmission Scaling'!$D$31,'2.RRIP Modeling Results'!$AD23*('1.Readmission Scaling'!$D$31/'1.Readmission Scaling'!$F$31)))</f>
        <v>5.0000000000000001E-3</v>
      </c>
      <c r="AA23" s="122">
        <f t="shared" si="13"/>
        <v>93620.368224535661</v>
      </c>
      <c r="AB23" s="179">
        <f>IF($V23&lt;='1.Readmission Scaling'!$B$5,'1.Readmission Scaling'!$E$12, IF($V23&lt;0,0,IF($V23&gt;='1.Readmission Scaling'!$A$31,'1.Readmission Scaling'!$E$31,'2.RRIP Modeling Results'!$AD23*('1.Readmission Scaling'!$E$31/'1.Readmission Scaling'!$F$31))))</f>
        <v>0.01</v>
      </c>
      <c r="AC23" s="122">
        <f t="shared" si="14"/>
        <v>187240.73644907132</v>
      </c>
      <c r="AD23" s="170">
        <f>V23-'1.Readmission Scaling'!$B$5</f>
        <v>-6.2425719852782419E-2</v>
      </c>
    </row>
    <row r="24" spans="1:30" ht="16.95" customHeight="1">
      <c r="A24" s="160">
        <v>210056</v>
      </c>
      <c r="B24" s="161" t="s">
        <v>91</v>
      </c>
      <c r="C24" s="120">
        <f>VLOOKUP(A24,Revenue!$A$2:$C$47,3,0)</f>
        <v>180861011.49427712</v>
      </c>
      <c r="D24" s="162">
        <v>9665</v>
      </c>
      <c r="E24" s="162">
        <v>1747</v>
      </c>
      <c r="F24" s="163">
        <f t="shared" si="0"/>
        <v>0.18075530263838593</v>
      </c>
      <c r="G24" s="164">
        <v>1608.1</v>
      </c>
      <c r="H24" s="165">
        <f t="shared" si="1"/>
        <v>1.0863752254213046</v>
      </c>
      <c r="I24" s="163">
        <f>H24*'[1]2. CY2013 BASE READMISSIONS'!$E$51</f>
        <v>0.13581848304137592</v>
      </c>
      <c r="J24" s="162">
        <v>8351</v>
      </c>
      <c r="K24" s="162">
        <v>1475</v>
      </c>
      <c r="L24" s="163">
        <f t="shared" si="2"/>
        <v>0.17662555382588913</v>
      </c>
      <c r="M24" s="164">
        <v>1424.7</v>
      </c>
      <c r="N24" s="165">
        <f t="shared" si="3"/>
        <v>1.0353056783884327</v>
      </c>
      <c r="O24" s="163">
        <f>N24*'[1]2. CY2013 BASE READMISSIONS'!$E$51</f>
        <v>0.12943377521179064</v>
      </c>
      <c r="P24" s="163">
        <f t="shared" si="9"/>
        <v>-0.13159888860823443</v>
      </c>
      <c r="Q24" s="163">
        <f t="shared" si="4"/>
        <v>-0.15569547796222094</v>
      </c>
      <c r="R24" s="166">
        <f t="shared" si="5"/>
        <v>-4.700912340215313E-2</v>
      </c>
      <c r="S24" s="167">
        <f t="shared" si="6"/>
        <v>1154744.7161542249</v>
      </c>
      <c r="T24" s="121">
        <f t="shared" si="10"/>
        <v>0</v>
      </c>
      <c r="U24" s="122">
        <f t="shared" si="7"/>
        <v>0</v>
      </c>
      <c r="V24" s="168">
        <f t="shared" si="11"/>
        <v>-9.401824680430626E-2</v>
      </c>
      <c r="W24" s="168">
        <f t="shared" si="8"/>
        <v>0.12304906738220535</v>
      </c>
      <c r="X24" s="178">
        <f>IF(V24&lt;=-10%,'1.Readmission Scaling'!$C$12,IF(V24&gt;=8%,'1.Readmission Scaling'!$C$31,'2.RRIP Modeling Results'!AD24*('1.Readmission Scaling'!$C$31/'1.Readmission Scaling'!$F$31)))</f>
        <v>1.0964100854858761E-2</v>
      </c>
      <c r="Y24" s="122">
        <f t="shared" si="12"/>
        <v>1982978.3707350239</v>
      </c>
      <c r="Z24" s="178">
        <f>IF($V24&lt;='1.Readmission Scaling'!$B$5,'1.Readmission Scaling'!$D$12,IF($V24&gt;='1.Readmission Scaling'!$A$31,'1.Readmission Scaling'!$D$31,'2.RRIP Modeling Results'!$AD24*('1.Readmission Scaling'!$D$31/'1.Readmission Scaling'!$F$31)))</f>
        <v>5.0000000000000001E-3</v>
      </c>
      <c r="AA24" s="122">
        <f t="shared" si="13"/>
        <v>904305.05747138557</v>
      </c>
      <c r="AB24" s="179">
        <f>IF($V24&lt;='1.Readmission Scaling'!$B$5,'1.Readmission Scaling'!$E$12, IF($V24&lt;0,0,IF($V24&gt;='1.Readmission Scaling'!$A$31,'1.Readmission Scaling'!$E$31,'2.RRIP Modeling Results'!$AD24*('1.Readmission Scaling'!$E$31/'1.Readmission Scaling'!$F$31))))</f>
        <v>0.01</v>
      </c>
      <c r="AC24" s="122">
        <f t="shared" si="14"/>
        <v>1808610.1149427711</v>
      </c>
      <c r="AD24" s="170">
        <f>V24-'1.Readmission Scaling'!$B$5</f>
        <v>-6.1618246804306248E-2</v>
      </c>
    </row>
    <row r="25" spans="1:30" ht="16.95" customHeight="1">
      <c r="A25" s="160">
        <v>210058</v>
      </c>
      <c r="B25" s="161" t="s">
        <v>93</v>
      </c>
      <c r="C25" s="120">
        <f>VLOOKUP(A25,Revenue!$A$2:$C$47,3,0)</f>
        <v>69104845.787293941</v>
      </c>
      <c r="D25" s="162">
        <v>2173</v>
      </c>
      <c r="E25" s="162">
        <v>241</v>
      </c>
      <c r="F25" s="163">
        <f t="shared" si="0"/>
        <v>0.11090658076392085</v>
      </c>
      <c r="G25" s="164">
        <v>255.25</v>
      </c>
      <c r="H25" s="165">
        <f t="shared" si="1"/>
        <v>0.94417238001958859</v>
      </c>
      <c r="I25" s="163">
        <f>H25*'[1]2. CY2013 BASE READMISSIONS'!$E$51</f>
        <v>0.11804030263493455</v>
      </c>
      <c r="J25" s="162">
        <v>2047</v>
      </c>
      <c r="K25" s="162">
        <v>214</v>
      </c>
      <c r="L25" s="163">
        <f t="shared" si="2"/>
        <v>0.10454323400097704</v>
      </c>
      <c r="M25" s="164">
        <v>237.83</v>
      </c>
      <c r="N25" s="165">
        <f t="shared" si="3"/>
        <v>0.89980237985115419</v>
      </c>
      <c r="O25" s="163">
        <f>N25*'[1]2. CY2013 BASE READMISSIONS'!$E$51</f>
        <v>0.11249317124385802</v>
      </c>
      <c r="P25" s="163">
        <f t="shared" si="9"/>
        <v>-5.1242236024844678E-2</v>
      </c>
      <c r="Q25" s="163">
        <f t="shared" si="4"/>
        <v>-0.11203319502074693</v>
      </c>
      <c r="R25" s="166">
        <f t="shared" si="5"/>
        <v>-4.6993537522792117E-2</v>
      </c>
      <c r="S25" s="167">
        <f t="shared" si="6"/>
        <v>383333.65934220119</v>
      </c>
      <c r="T25" s="121">
        <f t="shared" si="10"/>
        <v>0</v>
      </c>
      <c r="U25" s="122">
        <f t="shared" si="7"/>
        <v>0</v>
      </c>
      <c r="V25" s="168">
        <f t="shared" si="11"/>
        <v>-9.3987075045584234E-2</v>
      </c>
      <c r="W25" s="168">
        <f t="shared" si="8"/>
        <v>0.10694603985278148</v>
      </c>
      <c r="X25" s="178">
        <f>IF(V25&lt;=-10%,'1.Readmission Scaling'!$C$12,IF(V25&gt;=8%,'1.Readmission Scaling'!$C$31,'2.RRIP Modeling Results'!AD25*('1.Readmission Scaling'!$C$31/'1.Readmission Scaling'!$F$31)))</f>
        <v>1.0958554278573705E-2</v>
      </c>
      <c r="Y25" s="122">
        <f t="shared" si="12"/>
        <v>757289.20347252605</v>
      </c>
      <c r="Z25" s="178">
        <f>IF($V25&lt;='1.Readmission Scaling'!$B$5,'1.Readmission Scaling'!$D$12,IF($V25&gt;='1.Readmission Scaling'!$A$31,'1.Readmission Scaling'!$D$31,'2.RRIP Modeling Results'!$AD25*('1.Readmission Scaling'!$D$31/'1.Readmission Scaling'!$F$31)))</f>
        <v>5.0000000000000001E-3</v>
      </c>
      <c r="AA25" s="122">
        <f t="shared" si="13"/>
        <v>345524.22893646971</v>
      </c>
      <c r="AB25" s="179">
        <f>IF($V25&lt;='1.Readmission Scaling'!$B$5,'1.Readmission Scaling'!$E$12, IF($V25&lt;0,0,IF($V25&gt;='1.Readmission Scaling'!$A$31,'1.Readmission Scaling'!$E$31,'2.RRIP Modeling Results'!$AD25*('1.Readmission Scaling'!$E$31/'1.Readmission Scaling'!$F$31))))</f>
        <v>0.01</v>
      </c>
      <c r="AC25" s="122">
        <f t="shared" si="14"/>
        <v>691048.45787293941</v>
      </c>
      <c r="AD25" s="170">
        <f>V25-'1.Readmission Scaling'!$B$5</f>
        <v>-6.1587075045584222E-2</v>
      </c>
    </row>
    <row r="26" spans="1:30" ht="16.95" customHeight="1">
      <c r="A26" s="160">
        <v>210043</v>
      </c>
      <c r="B26" s="161" t="s">
        <v>84</v>
      </c>
      <c r="C26" s="120">
        <f>VLOOKUP(A26,Revenue!$A$2:$C$47,3,0)</f>
        <v>223155125.99975017</v>
      </c>
      <c r="D26" s="162">
        <v>14970</v>
      </c>
      <c r="E26" s="162">
        <v>2351</v>
      </c>
      <c r="F26" s="163">
        <f t="shared" si="0"/>
        <v>0.15704742818971276</v>
      </c>
      <c r="G26" s="164">
        <v>2147.1999999999998</v>
      </c>
      <c r="H26" s="165">
        <f t="shared" si="1"/>
        <v>1.0949143070044711</v>
      </c>
      <c r="I26" s="163">
        <f>H26*'[1]2. CY2013 BASE READMISSIONS'!$E$51</f>
        <v>0.13688603786042333</v>
      </c>
      <c r="J26" s="162">
        <v>14523</v>
      </c>
      <c r="K26" s="162">
        <v>2219</v>
      </c>
      <c r="L26" s="163">
        <f t="shared" si="2"/>
        <v>0.1527921228396337</v>
      </c>
      <c r="M26" s="164">
        <v>2112.3000000000002</v>
      </c>
      <c r="N26" s="165">
        <f t="shared" si="3"/>
        <v>1.0505136580978081</v>
      </c>
      <c r="O26" s="163">
        <f>N26*'[1]2. CY2013 BASE READMISSIONS'!$E$51</f>
        <v>0.13133507476825867</v>
      </c>
      <c r="P26" s="163">
        <f t="shared" si="9"/>
        <v>-2.4962358348522118E-2</v>
      </c>
      <c r="Q26" s="163">
        <f t="shared" si="4"/>
        <v>-5.6146320714589582E-2</v>
      </c>
      <c r="R26" s="166">
        <f t="shared" si="5"/>
        <v>-4.0551711328110196E-2</v>
      </c>
      <c r="S26" s="167">
        <f t="shared" si="6"/>
        <v>1238725.8682519651</v>
      </c>
      <c r="T26" s="121">
        <f t="shared" si="10"/>
        <v>0</v>
      </c>
      <c r="U26" s="122">
        <f t="shared" si="7"/>
        <v>0</v>
      </c>
      <c r="V26" s="168">
        <f t="shared" si="11"/>
        <v>-8.1103422656220392E-2</v>
      </c>
      <c r="W26" s="168">
        <f t="shared" si="8"/>
        <v>0.12578411167609402</v>
      </c>
      <c r="X26" s="178">
        <f>IF(V26&lt;=-10%,'1.Readmission Scaling'!$C$12,IF(V26&gt;=8%,'1.Readmission Scaling'!$C$31,'2.RRIP Modeling Results'!AD26*('1.Readmission Scaling'!$C$31/'1.Readmission Scaling'!$F$31)))</f>
        <v>8.666089440608607E-3</v>
      </c>
      <c r="Y26" s="122">
        <f t="shared" si="12"/>
        <v>1933882.2810441181</v>
      </c>
      <c r="Z26" s="178">
        <f>IF($V26&lt;='1.Readmission Scaling'!$B$5,'1.Readmission Scaling'!$D$12,IF($V26&gt;='1.Readmission Scaling'!$A$31,'1.Readmission Scaling'!$D$31,'2.RRIP Modeling Results'!$AD26*('1.Readmission Scaling'!$D$31/'1.Readmission Scaling'!$F$31)))</f>
        <v>5.0000000000000001E-3</v>
      </c>
      <c r="AA26" s="122">
        <f t="shared" si="13"/>
        <v>1115775.6299987508</v>
      </c>
      <c r="AB26" s="179">
        <f>IF($V26&lt;='1.Readmission Scaling'!$B$5,'1.Readmission Scaling'!$E$12, IF($V26&lt;0,0,IF($V26&gt;='1.Readmission Scaling'!$A$31,'1.Readmission Scaling'!$E$31,'2.RRIP Modeling Results'!$AD26*('1.Readmission Scaling'!$E$31/'1.Readmission Scaling'!$F$31))))</f>
        <v>0.01</v>
      </c>
      <c r="AC26" s="122">
        <f t="shared" si="14"/>
        <v>2231551.2599975015</v>
      </c>
      <c r="AD26" s="170">
        <f>V26-'1.Readmission Scaling'!$B$5</f>
        <v>-4.870342265622038E-2</v>
      </c>
    </row>
    <row r="27" spans="1:30" ht="16.95" customHeight="1">
      <c r="A27" s="160">
        <v>210034</v>
      </c>
      <c r="B27" s="161" t="s">
        <v>78</v>
      </c>
      <c r="C27" s="120">
        <f>VLOOKUP(A27,Revenue!$A$2:$C$47,3,0)</f>
        <v>124002219.66514386</v>
      </c>
      <c r="D27" s="162">
        <v>7572</v>
      </c>
      <c r="E27" s="162">
        <v>880</v>
      </c>
      <c r="F27" s="163">
        <f t="shared" si="0"/>
        <v>0.1162176439513999</v>
      </c>
      <c r="G27" s="164">
        <v>857.25</v>
      </c>
      <c r="H27" s="165">
        <f t="shared" si="1"/>
        <v>1.0265383493729952</v>
      </c>
      <c r="I27" s="163">
        <f>H27*'[1]2. CY2013 BASE READMISSIONS'!$E$51</f>
        <v>0.12833768492978004</v>
      </c>
      <c r="J27" s="162">
        <v>6866</v>
      </c>
      <c r="K27" s="162">
        <v>760</v>
      </c>
      <c r="L27" s="163">
        <f t="shared" si="2"/>
        <v>0.11069035828721235</v>
      </c>
      <c r="M27" s="164">
        <v>770.64</v>
      </c>
      <c r="N27" s="165">
        <f t="shared" si="3"/>
        <v>0.98619329388560162</v>
      </c>
      <c r="O27" s="163">
        <f>N27*'[1]2. CY2013 BASE READMISSIONS'!$E$51</f>
        <v>0.12329375157572837</v>
      </c>
      <c r="P27" s="163">
        <f t="shared" si="9"/>
        <v>-8.7567244471010164E-2</v>
      </c>
      <c r="Q27" s="163">
        <f t="shared" si="4"/>
        <v>-0.13636363636363635</v>
      </c>
      <c r="R27" s="166">
        <f t="shared" si="5"/>
        <v>-3.9302044109736367E-2</v>
      </c>
      <c r="S27" s="167">
        <f t="shared" si="6"/>
        <v>625458.93174546026</v>
      </c>
      <c r="T27" s="121">
        <f t="shared" si="10"/>
        <v>0</v>
      </c>
      <c r="U27" s="122">
        <f t="shared" si="7"/>
        <v>0</v>
      </c>
      <c r="V27" s="168">
        <f t="shared" si="11"/>
        <v>-7.8604088219472734E-2</v>
      </c>
      <c r="W27" s="168">
        <f t="shared" si="8"/>
        <v>0.11824981822167671</v>
      </c>
      <c r="X27" s="178">
        <f>IF(V27&lt;=-10%,'1.Readmission Scaling'!$C$12,IF(V27&gt;=8%,'1.Readmission Scaling'!$C$31,'2.RRIP Modeling Results'!AD27*('1.Readmission Scaling'!$C$31/'1.Readmission Scaling'!$F$31)))</f>
        <v>8.2213680105823334E-3</v>
      </c>
      <c r="Y27" s="122">
        <f t="shared" si="12"/>
        <v>1019467.8819962173</v>
      </c>
      <c r="Z27" s="178">
        <f>IF($V27&lt;='1.Readmission Scaling'!$B$5,'1.Readmission Scaling'!$D$12,IF($V27&gt;='1.Readmission Scaling'!$A$31,'1.Readmission Scaling'!$D$31,'2.RRIP Modeling Results'!$AD27*('1.Readmission Scaling'!$D$31/'1.Readmission Scaling'!$F$31)))</f>
        <v>5.0000000000000001E-3</v>
      </c>
      <c r="AA27" s="122">
        <f t="shared" si="13"/>
        <v>620011.09832571936</v>
      </c>
      <c r="AB27" s="179">
        <f>IF($V27&lt;='1.Readmission Scaling'!$B$5,'1.Readmission Scaling'!$E$12, IF($V27&lt;0,0,IF($V27&gt;='1.Readmission Scaling'!$A$31,'1.Readmission Scaling'!$E$31,'2.RRIP Modeling Results'!$AD27*('1.Readmission Scaling'!$E$31/'1.Readmission Scaling'!$F$31))))</f>
        <v>0.01</v>
      </c>
      <c r="AC27" s="122">
        <f t="shared" si="14"/>
        <v>1240022.1966514387</v>
      </c>
      <c r="AD27" s="170">
        <f>V27-'1.Readmission Scaling'!$B$5</f>
        <v>-4.6204088219472722E-2</v>
      </c>
    </row>
    <row r="28" spans="1:30" ht="16.95" customHeight="1">
      <c r="A28" s="160">
        <v>210062</v>
      </c>
      <c r="B28" s="161" t="s">
        <v>96</v>
      </c>
      <c r="C28" s="120">
        <f>VLOOKUP(A28,Revenue!$A$2:$C$47,3,0)</f>
        <v>163208213.46317798</v>
      </c>
      <c r="D28" s="162">
        <v>12225</v>
      </c>
      <c r="E28" s="162">
        <v>1462</v>
      </c>
      <c r="F28" s="163">
        <f t="shared" si="0"/>
        <v>0.11959100204498978</v>
      </c>
      <c r="G28" s="164">
        <v>1628</v>
      </c>
      <c r="H28" s="165">
        <f t="shared" si="1"/>
        <v>0.898034398034398</v>
      </c>
      <c r="I28" s="163">
        <f>H28*'[1]2. CY2013 BASE READMISSIONS'!$E$51</f>
        <v>0.1122721383973998</v>
      </c>
      <c r="J28" s="162">
        <v>11490</v>
      </c>
      <c r="K28" s="162">
        <v>1368</v>
      </c>
      <c r="L28" s="163">
        <f t="shared" si="2"/>
        <v>0.11906005221932114</v>
      </c>
      <c r="M28" s="164">
        <v>1570.1</v>
      </c>
      <c r="N28" s="165">
        <f t="shared" si="3"/>
        <v>0.87128208394369788</v>
      </c>
      <c r="O28" s="163">
        <f>N28*'[1]2. CY2013 BASE READMISSIONS'!$E$51</f>
        <v>0.10892756772547911</v>
      </c>
      <c r="P28" s="163">
        <f t="shared" si="9"/>
        <v>-5.9555885905416717E-2</v>
      </c>
      <c r="Q28" s="163">
        <f t="shared" si="4"/>
        <v>-6.4295485636114869E-2</v>
      </c>
      <c r="R28" s="166">
        <f t="shared" si="5"/>
        <v>-2.9789854541491079E-2</v>
      </c>
      <c r="S28" s="167">
        <f t="shared" si="6"/>
        <v>545861.40416551742</v>
      </c>
      <c r="T28" s="121">
        <f t="shared" si="10"/>
        <v>0</v>
      </c>
      <c r="U28" s="122">
        <f t="shared" si="7"/>
        <v>0</v>
      </c>
      <c r="V28" s="168">
        <f t="shared" si="11"/>
        <v>-5.9579709082982157E-2</v>
      </c>
      <c r="W28" s="168">
        <f t="shared" si="8"/>
        <v>0.10558299705355841</v>
      </c>
      <c r="X28" s="178">
        <f>IF(V28&lt;=-10%,'1.Readmission Scaling'!$C$12,IF(V28&gt;=8%,'1.Readmission Scaling'!$C$31,'2.RRIP Modeling Results'!AD28*('1.Readmission Scaling'!$C$31/'1.Readmission Scaling'!$F$31)))</f>
        <v>4.8362471677904171E-3</v>
      </c>
      <c r="Y28" s="122">
        <f t="shared" si="12"/>
        <v>789315.26012142829</v>
      </c>
      <c r="Z28" s="178">
        <f>IF($V28&lt;='1.Readmission Scaling'!$B$5,'1.Readmission Scaling'!$D$12,IF($V28&gt;='1.Readmission Scaling'!$A$31,'1.Readmission Scaling'!$D$31,'2.RRIP Modeling Results'!$AD28*('1.Readmission Scaling'!$D$31/'1.Readmission Scaling'!$F$31)))</f>
        <v>5.0000000000000001E-3</v>
      </c>
      <c r="AA28" s="122">
        <f t="shared" si="13"/>
        <v>816041.06731588987</v>
      </c>
      <c r="AB28" s="179">
        <f>IF($V28&lt;='1.Readmission Scaling'!$B$5,'1.Readmission Scaling'!$E$12, IF($V28&lt;0,0,IF($V28&gt;='1.Readmission Scaling'!$A$31,'1.Readmission Scaling'!$E$31,'2.RRIP Modeling Results'!$AD28*('1.Readmission Scaling'!$E$31/'1.Readmission Scaling'!$F$31))))</f>
        <v>0.01</v>
      </c>
      <c r="AC28" s="122">
        <f t="shared" si="14"/>
        <v>1632082.1346317797</v>
      </c>
      <c r="AD28" s="170">
        <f>V28-'1.Readmission Scaling'!$B$5</f>
        <v>-2.7179709082982145E-2</v>
      </c>
    </row>
    <row r="29" spans="1:30" ht="16.95" customHeight="1">
      <c r="A29" s="160">
        <v>210057</v>
      </c>
      <c r="B29" s="161" t="s">
        <v>92</v>
      </c>
      <c r="C29" s="120">
        <f>VLOOKUP(A29,Revenue!$A$2:$C$47,3,0)</f>
        <v>228731774.96088892</v>
      </c>
      <c r="D29" s="162">
        <v>20582</v>
      </c>
      <c r="E29" s="162">
        <v>1675</v>
      </c>
      <c r="F29" s="163">
        <f t="shared" si="0"/>
        <v>8.1381789913516661E-2</v>
      </c>
      <c r="G29" s="164">
        <v>1946.1</v>
      </c>
      <c r="H29" s="165">
        <f t="shared" si="1"/>
        <v>0.86069575047530966</v>
      </c>
      <c r="I29" s="163">
        <f>H29*'[1]2. CY2013 BASE READMISSIONS'!$E$51</f>
        <v>0.10760406575396735</v>
      </c>
      <c r="J29" s="162">
        <v>19976</v>
      </c>
      <c r="K29" s="162">
        <v>1616</v>
      </c>
      <c r="L29" s="163">
        <f t="shared" si="2"/>
        <v>8.0897076491790149E-2</v>
      </c>
      <c r="M29" s="164">
        <v>1933.6</v>
      </c>
      <c r="N29" s="165">
        <f t="shared" si="3"/>
        <v>0.8357467935457179</v>
      </c>
      <c r="O29" s="163">
        <f>N29*'[1]2. CY2013 BASE READMISSIONS'!$E$51</f>
        <v>0.10448495054924821</v>
      </c>
      <c r="P29" s="163">
        <f t="shared" si="9"/>
        <v>-2.8931083725604267E-2</v>
      </c>
      <c r="Q29" s="163">
        <f t="shared" si="4"/>
        <v>-3.5223880597014978E-2</v>
      </c>
      <c r="R29" s="166">
        <f t="shared" si="5"/>
        <v>-2.8986964227270651E-2</v>
      </c>
      <c r="S29" s="167">
        <f t="shared" si="6"/>
        <v>713440.75708290318</v>
      </c>
      <c r="T29" s="121">
        <f t="shared" si="10"/>
        <v>0</v>
      </c>
      <c r="U29" s="122">
        <f t="shared" si="7"/>
        <v>0</v>
      </c>
      <c r="V29" s="168">
        <f t="shared" si="11"/>
        <v>-5.7973928454541301E-2</v>
      </c>
      <c r="W29" s="168">
        <f t="shared" si="8"/>
        <v>0.10136583534452909</v>
      </c>
      <c r="X29" s="178">
        <f>IF(V29&lt;=-10%,'1.Readmission Scaling'!$C$12,IF(V29&gt;=8%,'1.Readmission Scaling'!$C$31,'2.RRIP Modeling Results'!AD29*('1.Readmission Scaling'!$C$31/'1.Readmission Scaling'!$F$31)))</f>
        <v>4.5505210773205138E-3</v>
      </c>
      <c r="Y29" s="122">
        <f t="shared" si="12"/>
        <v>1040848.7630124575</v>
      </c>
      <c r="Z29" s="178">
        <f>IF($V29&lt;='1.Readmission Scaling'!$B$5,'1.Readmission Scaling'!$D$12,IF($V29&gt;='1.Readmission Scaling'!$A$31,'1.Readmission Scaling'!$D$31,'2.RRIP Modeling Results'!$AD29*('1.Readmission Scaling'!$D$31/'1.Readmission Scaling'!$F$31)))</f>
        <v>5.0000000000000001E-3</v>
      </c>
      <c r="AA29" s="122">
        <f t="shared" si="13"/>
        <v>1143658.8748044446</v>
      </c>
      <c r="AB29" s="179">
        <f>IF($V29&lt;='1.Readmission Scaling'!$B$5,'1.Readmission Scaling'!$E$12, IF($V29&lt;0,0,IF($V29&gt;='1.Readmission Scaling'!$A$31,'1.Readmission Scaling'!$E$31,'2.RRIP Modeling Results'!$AD29*('1.Readmission Scaling'!$E$31/'1.Readmission Scaling'!$F$31))))</f>
        <v>0.01</v>
      </c>
      <c r="AC29" s="122">
        <f t="shared" si="14"/>
        <v>2287317.7496088892</v>
      </c>
      <c r="AD29" s="170">
        <f>V29-'1.Readmission Scaling'!$B$5</f>
        <v>-2.5573928454541289E-2</v>
      </c>
    </row>
    <row r="30" spans="1:30" ht="16.95" customHeight="1">
      <c r="A30" s="160">
        <v>210048</v>
      </c>
      <c r="B30" s="161" t="s">
        <v>87</v>
      </c>
      <c r="C30" s="120">
        <f>VLOOKUP(A30,Revenue!$A$2:$C$47,3,0)</f>
        <v>167386496.75761572</v>
      </c>
      <c r="D30" s="162">
        <v>15088</v>
      </c>
      <c r="E30" s="162">
        <v>1437</v>
      </c>
      <c r="F30" s="163">
        <f t="shared" si="0"/>
        <v>9.5241251325556733E-2</v>
      </c>
      <c r="G30" s="164">
        <v>1558.8</v>
      </c>
      <c r="H30" s="165">
        <f t="shared" si="1"/>
        <v>0.92186297151655117</v>
      </c>
      <c r="I30" s="163">
        <f>H30*'[1]2. CY2013 BASE READMISSIONS'!$E$51</f>
        <v>0.11525118341578276</v>
      </c>
      <c r="J30" s="162">
        <v>15878</v>
      </c>
      <c r="K30" s="162">
        <v>1509</v>
      </c>
      <c r="L30" s="163">
        <f t="shared" si="2"/>
        <v>9.5037158332283669E-2</v>
      </c>
      <c r="M30" s="164">
        <v>1679.1</v>
      </c>
      <c r="N30" s="165">
        <f t="shared" si="3"/>
        <v>0.89869572985527968</v>
      </c>
      <c r="O30" s="163">
        <f>N30*'[1]2. CY2013 BASE READMISSIONS'!$E$51</f>
        <v>0.11235481801176997</v>
      </c>
      <c r="P30" s="172">
        <f t="shared" si="9"/>
        <v>5.2596879349498193E-2</v>
      </c>
      <c r="Q30" s="177">
        <f t="shared" si="4"/>
        <v>5.0104384133611735E-2</v>
      </c>
      <c r="R30" s="166">
        <f t="shared" si="5"/>
        <v>-2.5130895129847008E-2</v>
      </c>
      <c r="S30" s="167">
        <f t="shared" si="6"/>
        <v>484812.45830765879</v>
      </c>
      <c r="T30" s="121">
        <f t="shared" si="10"/>
        <v>0</v>
      </c>
      <c r="U30" s="122">
        <f t="shared" si="7"/>
        <v>0</v>
      </c>
      <c r="V30" s="168">
        <f t="shared" si="11"/>
        <v>-5.0261790259694017E-2</v>
      </c>
      <c r="W30" s="168">
        <f t="shared" si="8"/>
        <v>0.10945845260775716</v>
      </c>
      <c r="X30" s="178">
        <f>IF(V30&lt;=-10%,'1.Readmission Scaling'!$C$12,IF(V30&gt;=8%,'1.Readmission Scaling'!$C$31,'2.RRIP Modeling Results'!AD30*('1.Readmission Scaling'!$C$31/'1.Readmission Scaling'!$F$31)))</f>
        <v>3.178254494607474E-3</v>
      </c>
      <c r="Y30" s="122">
        <f t="shared" si="12"/>
        <v>531996.8856564915</v>
      </c>
      <c r="Z30" s="178">
        <f>IF($V30&lt;='1.Readmission Scaling'!$B$5,'1.Readmission Scaling'!$D$12,IF($V30&gt;='1.Readmission Scaling'!$A$31,'1.Readmission Scaling'!$D$31,'2.RRIP Modeling Results'!$AD30*('1.Readmission Scaling'!$D$31/'1.Readmission Scaling'!$F$31)))</f>
        <v>5.0000000000000001E-3</v>
      </c>
      <c r="AA30" s="122">
        <f t="shared" si="13"/>
        <v>836932.48378807865</v>
      </c>
      <c r="AB30" s="179">
        <f>IF($V30&lt;='1.Readmission Scaling'!$B$5,'1.Readmission Scaling'!$E$12, IF($V30&lt;0,0,IF($V30&gt;='1.Readmission Scaling'!$A$31,'1.Readmission Scaling'!$E$31,'2.RRIP Modeling Results'!$AD30*('1.Readmission Scaling'!$E$31/'1.Readmission Scaling'!$F$31))))</f>
        <v>0.01</v>
      </c>
      <c r="AC30" s="122">
        <f t="shared" si="14"/>
        <v>1673864.9675761573</v>
      </c>
      <c r="AD30" s="170">
        <f>V30-'1.Readmission Scaling'!$B$5</f>
        <v>-1.7861790259694005E-2</v>
      </c>
    </row>
    <row r="31" spans="1:30" ht="16.95" customHeight="1">
      <c r="A31" s="160">
        <v>210015</v>
      </c>
      <c r="B31" s="161" t="s">
        <v>64</v>
      </c>
      <c r="C31" s="120">
        <f>VLOOKUP(A31,Revenue!$A$2:$C$47,3,0)</f>
        <v>285691170.35922825</v>
      </c>
      <c r="D31" s="162">
        <v>19411</v>
      </c>
      <c r="E31" s="162">
        <v>2487</v>
      </c>
      <c r="F31" s="163">
        <f t="shared" si="0"/>
        <v>0.12812322909690382</v>
      </c>
      <c r="G31" s="164">
        <v>2452.1999999999998</v>
      </c>
      <c r="H31" s="165">
        <f t="shared" si="1"/>
        <v>1.0141913383900172</v>
      </c>
      <c r="I31" s="163">
        <f>H31*'[1]2. CY2013 BASE READMISSIONS'!$E$51</f>
        <v>0.12679406329467424</v>
      </c>
      <c r="J31" s="162">
        <v>19974</v>
      </c>
      <c r="K31" s="162">
        <v>2510</v>
      </c>
      <c r="L31" s="163">
        <f t="shared" si="2"/>
        <v>0.12566336237108242</v>
      </c>
      <c r="M31" s="164">
        <v>2526.1999999999998</v>
      </c>
      <c r="N31" s="165">
        <f t="shared" si="3"/>
        <v>0.99358720608027873</v>
      </c>
      <c r="O31" s="163">
        <f>N31*'[1]2. CY2013 BASE READMISSIONS'!$E$51</f>
        <v>0.12421813747345789</v>
      </c>
      <c r="P31" s="172">
        <f t="shared" si="9"/>
        <v>3.1907350508154186E-2</v>
      </c>
      <c r="Q31" s="177">
        <f t="shared" si="4"/>
        <v>9.2480900683553635E-3</v>
      </c>
      <c r="R31" s="166">
        <f t="shared" si="5"/>
        <v>-2.0315823582605752E-2</v>
      </c>
      <c r="S31" s="167">
        <f t="shared" si="6"/>
        <v>735919.26262185501</v>
      </c>
      <c r="T31" s="121">
        <f t="shared" si="10"/>
        <v>0</v>
      </c>
      <c r="U31" s="122">
        <f t="shared" si="7"/>
        <v>0</v>
      </c>
      <c r="V31" s="168">
        <f t="shared" si="11"/>
        <v>-4.0631647165211504E-2</v>
      </c>
      <c r="W31" s="168">
        <f t="shared" si="8"/>
        <v>0.12164221165224154</v>
      </c>
      <c r="X31" s="178">
        <f>IF(V31&lt;=-10%,'1.Readmission Scaling'!$C$12,IF(V31&gt;=8%,'1.Readmission Scaling'!$C$31,'2.RRIP Modeling Results'!AD31*('1.Readmission Scaling'!$C$31/'1.Readmission Scaling'!$F$31)))</f>
        <v>1.4647059012831835E-3</v>
      </c>
      <c r="Y31" s="122">
        <f t="shared" si="12"/>
        <v>418453.5431696609</v>
      </c>
      <c r="Z31" s="178">
        <f>IF($V31&lt;='1.Readmission Scaling'!$B$5,'1.Readmission Scaling'!$D$12,IF($V31&gt;='1.Readmission Scaling'!$A$31,'1.Readmission Scaling'!$D$31,'2.RRIP Modeling Results'!$AD31*('1.Readmission Scaling'!$D$31/'1.Readmission Scaling'!$F$31)))</f>
        <v>5.0000000000000001E-3</v>
      </c>
      <c r="AA31" s="122">
        <f t="shared" si="13"/>
        <v>1428455.8517961414</v>
      </c>
      <c r="AB31" s="179">
        <f>IF($V31&lt;='1.Readmission Scaling'!$B$5,'1.Readmission Scaling'!$E$12, IF($V31&lt;0,0,IF($V31&gt;='1.Readmission Scaling'!$A$31,'1.Readmission Scaling'!$E$31,'2.RRIP Modeling Results'!$AD31*('1.Readmission Scaling'!$E$31/'1.Readmission Scaling'!$F$31))))</f>
        <v>0.01</v>
      </c>
      <c r="AC31" s="122">
        <f t="shared" si="14"/>
        <v>2856911.7035922827</v>
      </c>
      <c r="AD31" s="170">
        <f>V31-'1.Readmission Scaling'!$B$5</f>
        <v>-8.231647165211492E-3</v>
      </c>
    </row>
    <row r="32" spans="1:30" ht="16.95" customHeight="1">
      <c r="A32" s="160">
        <v>210061</v>
      </c>
      <c r="B32" s="161" t="s">
        <v>95</v>
      </c>
      <c r="C32" s="120">
        <f>VLOOKUP(A32,Revenue!$A$2:$C$47,3,0)</f>
        <v>38640762.060988352</v>
      </c>
      <c r="D32" s="162">
        <v>2562</v>
      </c>
      <c r="E32" s="162">
        <v>371</v>
      </c>
      <c r="F32" s="163">
        <f t="shared" si="0"/>
        <v>0.1448087431693989</v>
      </c>
      <c r="G32" s="164">
        <v>410.99</v>
      </c>
      <c r="H32" s="165">
        <f t="shared" si="1"/>
        <v>0.90269836249057156</v>
      </c>
      <c r="I32" s="163">
        <f>H32*'[1]2. CY2013 BASE READMISSIONS'!$E$51</f>
        <v>0.11285522659986753</v>
      </c>
      <c r="J32" s="162">
        <v>2606</v>
      </c>
      <c r="K32" s="162">
        <v>363</v>
      </c>
      <c r="L32" s="163">
        <f t="shared" si="2"/>
        <v>0.13929393706830392</v>
      </c>
      <c r="M32" s="164">
        <v>409.61</v>
      </c>
      <c r="N32" s="165">
        <f t="shared" si="3"/>
        <v>0.88620883279216811</v>
      </c>
      <c r="O32" s="163">
        <f>N32*'[1]2. CY2013 BASE READMISSIONS'!$E$51</f>
        <v>0.11079370783793668</v>
      </c>
      <c r="P32" s="163">
        <f t="shared" si="9"/>
        <v>2.373345504335922E-2</v>
      </c>
      <c r="Q32" s="163">
        <f t="shared" si="4"/>
        <v>-2.1563342318059342E-2</v>
      </c>
      <c r="R32" s="166">
        <f t="shared" si="5"/>
        <v>-1.8266932104438971E-2</v>
      </c>
      <c r="S32" s="167">
        <f t="shared" si="6"/>
        <v>79658.655964033474</v>
      </c>
      <c r="T32" s="121">
        <f t="shared" si="10"/>
        <v>0</v>
      </c>
      <c r="U32" s="122">
        <f t="shared" si="7"/>
        <v>0</v>
      </c>
      <c r="V32" s="168">
        <f t="shared" si="11"/>
        <v>-3.6533864208877942E-2</v>
      </c>
      <c r="W32" s="168">
        <f t="shared" si="8"/>
        <v>0.10873218907600582</v>
      </c>
      <c r="X32" s="178">
        <f>IF(V32&lt;=-10%,'1.Readmission Scaling'!$C$12,IF(V32&gt;=8%,'1.Readmission Scaling'!$C$31,'2.RRIP Modeling Results'!AD32*('1.Readmission Scaling'!$C$31/'1.Readmission Scaling'!$F$31)))</f>
        <v>7.3556302649073479E-4</v>
      </c>
      <c r="Y32" s="122">
        <f t="shared" si="12"/>
        <v>28422.715887488954</v>
      </c>
      <c r="Z32" s="178">
        <f>IF($V32&lt;='1.Readmission Scaling'!$B$5,'1.Readmission Scaling'!$D$12,IF($V32&gt;='1.Readmission Scaling'!$A$31,'1.Readmission Scaling'!$D$31,'2.RRIP Modeling Results'!$AD32*('1.Readmission Scaling'!$D$31/'1.Readmission Scaling'!$F$31)))</f>
        <v>5.0000000000000001E-3</v>
      </c>
      <c r="AA32" s="122">
        <f t="shared" si="13"/>
        <v>193203.81030494176</v>
      </c>
      <c r="AB32" s="179">
        <f>IF($V32&lt;='1.Readmission Scaling'!$B$5,'1.Readmission Scaling'!$E$12, IF($V32&lt;0,0,IF($V32&gt;='1.Readmission Scaling'!$A$31,'1.Readmission Scaling'!$E$31,'2.RRIP Modeling Results'!$AD32*('1.Readmission Scaling'!$E$31/'1.Readmission Scaling'!$F$31))))</f>
        <v>0.01</v>
      </c>
      <c r="AC32" s="122">
        <f t="shared" si="14"/>
        <v>386407.62060988351</v>
      </c>
      <c r="AD32" s="170">
        <f>V32-'1.Readmission Scaling'!$B$5</f>
        <v>-4.1338642088779298E-3</v>
      </c>
    </row>
    <row r="33" spans="1:30" ht="16.95" customHeight="1">
      <c r="A33" s="160">
        <v>210002</v>
      </c>
      <c r="B33" s="161" t="s">
        <v>53</v>
      </c>
      <c r="C33" s="120">
        <f>VLOOKUP(A33,Revenue!$A$2:$C$47,3,0)</f>
        <v>863843448.60398436</v>
      </c>
      <c r="D33" s="162">
        <v>26763</v>
      </c>
      <c r="E33" s="162">
        <v>4116</v>
      </c>
      <c r="F33" s="163">
        <f t="shared" si="0"/>
        <v>0.15379441766618093</v>
      </c>
      <c r="G33" s="164">
        <v>3738.2</v>
      </c>
      <c r="H33" s="165">
        <f t="shared" si="1"/>
        <v>1.1010646835375315</v>
      </c>
      <c r="I33" s="163">
        <f>H33*'[1]2. CY2013 BASE READMISSIONS'!$E$51</f>
        <v>0.13765495709873676</v>
      </c>
      <c r="J33" s="162">
        <v>24026</v>
      </c>
      <c r="K33" s="162">
        <v>3843</v>
      </c>
      <c r="L33" s="163">
        <f t="shared" si="2"/>
        <v>0.15995171897111463</v>
      </c>
      <c r="M33" s="164">
        <v>3543.1</v>
      </c>
      <c r="N33" s="165">
        <f t="shared" si="3"/>
        <v>1.0846433913804296</v>
      </c>
      <c r="O33" s="163">
        <f>N33*'[1]2. CY2013 BASE READMISSIONS'!$E$51</f>
        <v>0.13560196938494581</v>
      </c>
      <c r="P33" s="163">
        <f t="shared" si="9"/>
        <v>-0.10880028259813657</v>
      </c>
      <c r="Q33" s="163">
        <f t="shared" si="4"/>
        <v>-6.6326530612244916E-2</v>
      </c>
      <c r="R33" s="166">
        <f t="shared" si="5"/>
        <v>-1.4914012230728413E-2</v>
      </c>
      <c r="S33" s="167">
        <f t="shared" si="6"/>
        <v>1773459.9866227882</v>
      </c>
      <c r="T33" s="121">
        <f t="shared" si="10"/>
        <v>0</v>
      </c>
      <c r="U33" s="122">
        <f t="shared" si="7"/>
        <v>0</v>
      </c>
      <c r="V33" s="168">
        <f t="shared" si="11"/>
        <v>-2.9828024461456826E-2</v>
      </c>
      <c r="W33" s="168">
        <f t="shared" si="8"/>
        <v>0.13354898167115486</v>
      </c>
      <c r="X33" s="178">
        <f>IF(V33&lt;=-10%,'1.Readmission Scaling'!$C$12,IF(V33&gt;=8%,'1.Readmission Scaling'!$C$31,'2.RRIP Modeling Results'!AD33*('1.Readmission Scaling'!$C$31/'1.Readmission Scaling'!$F$31)))</f>
        <v>-4.5764689297921464E-4</v>
      </c>
      <c r="Y33" s="122">
        <f t="shared" si="12"/>
        <v>-395335.27027406334</v>
      </c>
      <c r="Z33" s="178">
        <f>IF($V33&lt;='1.Readmission Scaling'!$B$5,'1.Readmission Scaling'!$D$12,IF($V33&gt;='1.Readmission Scaling'!$A$31,'1.Readmission Scaling'!$D$31,'2.RRIP Modeling Results'!$AD33*('1.Readmission Scaling'!$D$31/'1.Readmission Scaling'!$F$31)))</f>
        <v>-4.5764689297921464E-4</v>
      </c>
      <c r="AA33" s="122">
        <f t="shared" si="13"/>
        <v>-395335.27027406334</v>
      </c>
      <c r="AB33" s="179">
        <f>IF($V33&lt;='1.Readmission Scaling'!$B$5,'1.Readmission Scaling'!$E$12, IF($V33&lt;0,0,IF($V33&gt;='1.Readmission Scaling'!$A$31,'1.Readmission Scaling'!$E$31,'2.RRIP Modeling Results'!$AD33*('1.Readmission Scaling'!$E$31/'1.Readmission Scaling'!$F$31))))</f>
        <v>0</v>
      </c>
      <c r="AC33" s="122">
        <f t="shared" si="14"/>
        <v>0</v>
      </c>
      <c r="AD33" s="170">
        <f>V33-'1.Readmission Scaling'!$B$5</f>
        <v>2.5719755385431864E-3</v>
      </c>
    </row>
    <row r="34" spans="1:30" ht="16.95" customHeight="1">
      <c r="A34" s="160">
        <v>210006</v>
      </c>
      <c r="B34" s="161" t="s">
        <v>57</v>
      </c>
      <c r="C34" s="120">
        <f>VLOOKUP(A34,Revenue!$A$2:$C$47,3,0)</f>
        <v>47089618.293410309</v>
      </c>
      <c r="D34" s="162">
        <v>3777</v>
      </c>
      <c r="E34" s="162">
        <v>569</v>
      </c>
      <c r="F34" s="163">
        <f t="shared" si="0"/>
        <v>0.15064866296002119</v>
      </c>
      <c r="G34" s="164">
        <v>642.17999999999995</v>
      </c>
      <c r="H34" s="165">
        <f t="shared" si="1"/>
        <v>0.88604441122426736</v>
      </c>
      <c r="I34" s="163">
        <f>H34*'[1]2. CY2013 BASE READMISSIONS'!$E$51</f>
        <v>0.11077315187586299</v>
      </c>
      <c r="J34" s="162">
        <v>3470</v>
      </c>
      <c r="K34" s="162">
        <v>508</v>
      </c>
      <c r="L34" s="163">
        <f t="shared" si="2"/>
        <v>0.14639769452449566</v>
      </c>
      <c r="M34" s="164">
        <v>576.75</v>
      </c>
      <c r="N34" s="165">
        <f t="shared" si="3"/>
        <v>0.88079757260511482</v>
      </c>
      <c r="O34" s="163">
        <f>N34*'[1]2. CY2013 BASE READMISSIONS'!$E$51</f>
        <v>0.1101171928247535</v>
      </c>
      <c r="P34" s="163">
        <f t="shared" si="9"/>
        <v>-7.6683291770573536E-2</v>
      </c>
      <c r="Q34" s="163">
        <f t="shared" si="4"/>
        <v>-0.10720562390158173</v>
      </c>
      <c r="R34" s="166">
        <f t="shared" si="5"/>
        <v>-5.9216429252151315E-3</v>
      </c>
      <c r="S34" s="167">
        <f t="shared" si="6"/>
        <v>30888.861332853292</v>
      </c>
      <c r="T34" s="121">
        <f t="shared" si="10"/>
        <v>0</v>
      </c>
      <c r="U34" s="122">
        <f t="shared" si="7"/>
        <v>0</v>
      </c>
      <c r="V34" s="168">
        <f t="shared" si="11"/>
        <v>-1.1843285850430263E-2</v>
      </c>
      <c r="W34" s="168">
        <f t="shared" si="8"/>
        <v>0.10946123377364403</v>
      </c>
      <c r="X34" s="178">
        <f>IF(V34&lt;=-10%,'1.Readmission Scaling'!$C$12,IF(V34&gt;=8%,'1.Readmission Scaling'!$C$31,'2.RRIP Modeling Results'!AD34*('1.Readmission Scaling'!$C$31/'1.Readmission Scaling'!$F$31)))</f>
        <v>-3.6577783184287807E-3</v>
      </c>
      <c r="Y34" s="122">
        <f t="shared" si="12"/>
        <v>-172243.3848167235</v>
      </c>
      <c r="Z34" s="178">
        <f>IF($V34&lt;='1.Readmission Scaling'!$B$5,'1.Readmission Scaling'!$D$12,IF($V34&gt;='1.Readmission Scaling'!$A$31,'1.Readmission Scaling'!$D$31,'2.RRIP Modeling Results'!$AD34*('1.Readmission Scaling'!$D$31/'1.Readmission Scaling'!$F$31)))</f>
        <v>-3.6577783184287807E-3</v>
      </c>
      <c r="AA34" s="122">
        <f t="shared" si="13"/>
        <v>-172243.3848167235</v>
      </c>
      <c r="AB34" s="179">
        <f>IF($V34&lt;='1.Readmission Scaling'!$B$5,'1.Readmission Scaling'!$E$12, IF($V34&lt;0,0,IF($V34&gt;='1.Readmission Scaling'!$A$31,'1.Readmission Scaling'!$E$31,'2.RRIP Modeling Results'!$AD34*('1.Readmission Scaling'!$E$31/'1.Readmission Scaling'!$F$31))))</f>
        <v>0</v>
      </c>
      <c r="AC34" s="122">
        <f t="shared" si="14"/>
        <v>0</v>
      </c>
      <c r="AD34" s="170">
        <f>V34-'1.Readmission Scaling'!$B$5</f>
        <v>2.0556714149569749E-2</v>
      </c>
    </row>
    <row r="35" spans="1:30" ht="16.95" customHeight="1">
      <c r="A35" s="160">
        <v>210022</v>
      </c>
      <c r="B35" s="161" t="s">
        <v>69</v>
      </c>
      <c r="C35" s="120">
        <f>VLOOKUP(A35,Revenue!$A$2:$C$47,3,0)</f>
        <v>181410188.33315492</v>
      </c>
      <c r="D35" s="162">
        <v>10482</v>
      </c>
      <c r="E35" s="162">
        <v>1274</v>
      </c>
      <c r="F35" s="163">
        <f t="shared" si="0"/>
        <v>0.12154169051707689</v>
      </c>
      <c r="G35" s="164">
        <v>1478.7</v>
      </c>
      <c r="H35" s="165">
        <f t="shared" si="1"/>
        <v>0.86156759315615061</v>
      </c>
      <c r="I35" s="163">
        <f>H35*'[1]2. CY2013 BASE READMISSIONS'!$E$51</f>
        <v>0.10771306340744073</v>
      </c>
      <c r="J35" s="162">
        <v>10750</v>
      </c>
      <c r="K35" s="162">
        <v>1320</v>
      </c>
      <c r="L35" s="163">
        <f t="shared" si="2"/>
        <v>0.12279069767441861</v>
      </c>
      <c r="M35" s="164">
        <v>1540.8</v>
      </c>
      <c r="N35" s="165">
        <f t="shared" si="3"/>
        <v>0.85669781931464173</v>
      </c>
      <c r="O35" s="163">
        <f>N35*'[1]2. CY2013 BASE READMISSIONS'!$E$51</f>
        <v>0.10710424494358833</v>
      </c>
      <c r="P35" s="172">
        <f t="shared" si="9"/>
        <v>2.4109470026064228E-2</v>
      </c>
      <c r="Q35" s="177">
        <f t="shared" si="4"/>
        <v>3.6106750392464582E-2</v>
      </c>
      <c r="R35" s="166">
        <f t="shared" si="5"/>
        <v>-5.6522249446147033E-3</v>
      </c>
      <c r="S35" s="167">
        <f t="shared" si="6"/>
        <v>110445.87218816626</v>
      </c>
      <c r="T35" s="121">
        <f t="shared" si="10"/>
        <v>0</v>
      </c>
      <c r="U35" s="122">
        <f t="shared" si="7"/>
        <v>0</v>
      </c>
      <c r="V35" s="168">
        <f t="shared" si="11"/>
        <v>-1.1304449889229407E-2</v>
      </c>
      <c r="W35" s="168">
        <f t="shared" si="8"/>
        <v>0.10649542647973592</v>
      </c>
      <c r="X35" s="178">
        <f>IF(V35&lt;=-10%,'1.Readmission Scaling'!$C$12,IF(V35&gt;=8%,'1.Readmission Scaling'!$C$31,'2.RRIP Modeling Results'!AD35*('1.Readmission Scaling'!$C$31/'1.Readmission Scaling'!$F$31)))</f>
        <v>-3.753656603339965E-3</v>
      </c>
      <c r="Y35" s="122">
        <f t="shared" si="12"/>
        <v>-680951.55134989368</v>
      </c>
      <c r="Z35" s="178">
        <f>IF($V35&lt;='1.Readmission Scaling'!$B$5,'1.Readmission Scaling'!$D$12,IF($V35&gt;='1.Readmission Scaling'!$A$31,'1.Readmission Scaling'!$D$31,'2.RRIP Modeling Results'!$AD35*('1.Readmission Scaling'!$D$31/'1.Readmission Scaling'!$F$31)))</f>
        <v>-3.753656603339965E-3</v>
      </c>
      <c r="AA35" s="122">
        <f t="shared" si="13"/>
        <v>-680951.55134989368</v>
      </c>
      <c r="AB35" s="179">
        <f>IF($V35&lt;='1.Readmission Scaling'!$B$5,'1.Readmission Scaling'!$E$12, IF($V35&lt;0,0,IF($V35&gt;='1.Readmission Scaling'!$A$31,'1.Readmission Scaling'!$E$31,'2.RRIP Modeling Results'!$AD35*('1.Readmission Scaling'!$E$31/'1.Readmission Scaling'!$F$31))))</f>
        <v>0</v>
      </c>
      <c r="AC35" s="122">
        <f t="shared" si="14"/>
        <v>0</v>
      </c>
      <c r="AD35" s="170">
        <f>V35-'1.Readmission Scaling'!$B$5</f>
        <v>2.1095550110770606E-2</v>
      </c>
    </row>
    <row r="36" spans="1:30" ht="16.95" customHeight="1">
      <c r="A36" s="160">
        <v>210033</v>
      </c>
      <c r="B36" s="161" t="s">
        <v>77</v>
      </c>
      <c r="C36" s="120">
        <f>VLOOKUP(A36,Revenue!$A$2:$C$47,3,0)</f>
        <v>138209278.26224214</v>
      </c>
      <c r="D36" s="162">
        <v>9791</v>
      </c>
      <c r="E36" s="162">
        <v>1177</v>
      </c>
      <c r="F36" s="163">
        <f t="shared" si="0"/>
        <v>0.12021243999591462</v>
      </c>
      <c r="G36" s="164">
        <v>1243.7</v>
      </c>
      <c r="H36" s="165">
        <f t="shared" si="1"/>
        <v>0.94636970330465542</v>
      </c>
      <c r="I36" s="163">
        <f>H36*'[1]2. CY2013 BASE READMISSIONS'!$E$51</f>
        <v>0.11831501169341251</v>
      </c>
      <c r="J36" s="162">
        <v>9449</v>
      </c>
      <c r="K36" s="162">
        <v>1130</v>
      </c>
      <c r="L36" s="163">
        <f t="shared" si="2"/>
        <v>0.11958937453698804</v>
      </c>
      <c r="M36" s="164">
        <v>1195</v>
      </c>
      <c r="N36" s="165">
        <f t="shared" si="3"/>
        <v>0.94560669456066948</v>
      </c>
      <c r="O36" s="163">
        <f>N36*'[1]2. CY2013 BASE READMISSIONS'!$E$51</f>
        <v>0.11821962044393396</v>
      </c>
      <c r="P36" s="163">
        <f t="shared" si="9"/>
        <v>-3.4246575342465779E-2</v>
      </c>
      <c r="Q36" s="163">
        <f t="shared" si="4"/>
        <v>-3.9932030586236178E-2</v>
      </c>
      <c r="R36" s="166">
        <f t="shared" si="5"/>
        <v>-8.0624806703089025E-4</v>
      </c>
      <c r="S36" s="167">
        <f t="shared" si="6"/>
        <v>13183.955742964015</v>
      </c>
      <c r="T36" s="121">
        <f t="shared" si="10"/>
        <v>0</v>
      </c>
      <c r="U36" s="122">
        <f t="shared" si="7"/>
        <v>0</v>
      </c>
      <c r="V36" s="168">
        <f t="shared" si="11"/>
        <v>-1.6124961340617805E-3</v>
      </c>
      <c r="W36" s="168">
        <f t="shared" si="8"/>
        <v>0.11812422919445541</v>
      </c>
      <c r="X36" s="178">
        <f>IF(V36&lt;=-10%,'1.Readmission Scaling'!$C$12,IF(V36&gt;=8%,'1.Readmission Scaling'!$C$31,'2.RRIP Modeling Results'!AD36*('1.Readmission Scaling'!$C$31/'1.Readmission Scaling'!$F$31)))</f>
        <v>-5.4782035348644531E-3</v>
      </c>
      <c r="Y36" s="122">
        <f t="shared" si="12"/>
        <v>-757138.55672727968</v>
      </c>
      <c r="Z36" s="178">
        <f>IF($V36&lt;='1.Readmission Scaling'!$B$5,'1.Readmission Scaling'!$D$12,IF($V36&gt;='1.Readmission Scaling'!$A$31,'1.Readmission Scaling'!$D$31,'2.RRIP Modeling Results'!$AD36*('1.Readmission Scaling'!$D$31/'1.Readmission Scaling'!$F$31)))</f>
        <v>-5.4782035348644531E-3</v>
      </c>
      <c r="AA36" s="122">
        <f t="shared" si="13"/>
        <v>-757138.55672727968</v>
      </c>
      <c r="AB36" s="179">
        <f>IF($V36&lt;='1.Readmission Scaling'!$B$5,'1.Readmission Scaling'!$E$12, IF($V36&lt;0,0,IF($V36&gt;='1.Readmission Scaling'!$A$31,'1.Readmission Scaling'!$E$31,'2.RRIP Modeling Results'!$AD36*('1.Readmission Scaling'!$E$31/'1.Readmission Scaling'!$F$31))))</f>
        <v>0</v>
      </c>
      <c r="AC36" s="122">
        <f t="shared" si="14"/>
        <v>0</v>
      </c>
      <c r="AD36" s="170">
        <f>V36-'1.Readmission Scaling'!$B$5</f>
        <v>3.0787503865938232E-2</v>
      </c>
    </row>
    <row r="37" spans="1:30" ht="16.95" customHeight="1">
      <c r="A37" s="160">
        <v>210060</v>
      </c>
      <c r="B37" s="161" t="s">
        <v>94</v>
      </c>
      <c r="C37" s="120">
        <f>VLOOKUP(A37,Revenue!$A$2:$C$47,3,0)</f>
        <v>17776133.449990414</v>
      </c>
      <c r="D37" s="162">
        <v>1858</v>
      </c>
      <c r="E37" s="162">
        <v>260</v>
      </c>
      <c r="F37" s="163">
        <f t="shared" si="0"/>
        <v>0.13993541442411195</v>
      </c>
      <c r="G37" s="164">
        <v>268.68</v>
      </c>
      <c r="H37" s="165">
        <f t="shared" si="1"/>
        <v>0.96769391097216018</v>
      </c>
      <c r="I37" s="163">
        <f>H37*'[1]2. CY2013 BASE READMISSIONS'!$E$51</f>
        <v>0.12098096123799697</v>
      </c>
      <c r="J37" s="162">
        <v>1737</v>
      </c>
      <c r="K37" s="162">
        <v>250</v>
      </c>
      <c r="L37" s="163">
        <f t="shared" si="2"/>
        <v>0.14392630972941853</v>
      </c>
      <c r="M37" s="164">
        <v>258.44</v>
      </c>
      <c r="N37" s="165">
        <f t="shared" si="3"/>
        <v>0.96734251663829129</v>
      </c>
      <c r="O37" s="163">
        <f>N37*'[1]2. CY2013 BASE READMISSIONS'!$E$51</f>
        <v>0.12093702996613195</v>
      </c>
      <c r="P37" s="163">
        <f t="shared" si="9"/>
        <v>-6.9461827284105104E-2</v>
      </c>
      <c r="Q37" s="163">
        <f t="shared" si="4"/>
        <v>-3.8461538461538436E-2</v>
      </c>
      <c r="R37" s="166">
        <f t="shared" si="5"/>
        <v>-3.6312549855332943E-4</v>
      </c>
      <c r="S37" s="167">
        <f t="shared" si="6"/>
        <v>780.92815130020335</v>
      </c>
      <c r="T37" s="121">
        <f t="shared" si="10"/>
        <v>0</v>
      </c>
      <c r="U37" s="122">
        <f t="shared" si="7"/>
        <v>0</v>
      </c>
      <c r="V37" s="168">
        <f t="shared" si="11"/>
        <v>-7.2625099710665886E-4</v>
      </c>
      <c r="W37" s="168">
        <f t="shared" si="8"/>
        <v>0.12089309869426695</v>
      </c>
      <c r="X37" s="178">
        <f>IF(V37&lt;=-10%,'1.Readmission Scaling'!$C$12,IF(V37&gt;=8%,'1.Readmission Scaling'!$C$31,'2.RRIP Modeling Results'!AD37*('1.Readmission Scaling'!$C$31/'1.Readmission Scaling'!$F$31)))</f>
        <v>-5.6358983990913436E-3</v>
      </c>
      <c r="Y37" s="122">
        <f t="shared" si="12"/>
        <v>-100184.48205283505</v>
      </c>
      <c r="Z37" s="178">
        <f>IF($V37&lt;='1.Readmission Scaling'!$B$5,'1.Readmission Scaling'!$D$12,IF($V37&gt;='1.Readmission Scaling'!$A$31,'1.Readmission Scaling'!$D$31,'2.RRIP Modeling Results'!$AD37*('1.Readmission Scaling'!$D$31/'1.Readmission Scaling'!$F$31)))</f>
        <v>-5.6358983990913436E-3</v>
      </c>
      <c r="AA37" s="122">
        <f t="shared" si="13"/>
        <v>-100184.48205283505</v>
      </c>
      <c r="AB37" s="179">
        <f>IF($V37&lt;='1.Readmission Scaling'!$B$5,'1.Readmission Scaling'!$E$12, IF($V37&lt;0,0,IF($V37&gt;='1.Readmission Scaling'!$A$31,'1.Readmission Scaling'!$E$31,'2.RRIP Modeling Results'!$AD37*('1.Readmission Scaling'!$E$31/'1.Readmission Scaling'!$F$31))))</f>
        <v>0</v>
      </c>
      <c r="AC37" s="122">
        <f t="shared" si="14"/>
        <v>0</v>
      </c>
      <c r="AD37" s="170">
        <f>V37-'1.Readmission Scaling'!$B$5</f>
        <v>3.1673749002893353E-2</v>
      </c>
    </row>
    <row r="38" spans="1:30" ht="16.95" customHeight="1">
      <c r="A38" s="160">
        <v>210009</v>
      </c>
      <c r="B38" s="161" t="s">
        <v>59</v>
      </c>
      <c r="C38" s="120">
        <f>VLOOKUP(A38,Revenue!$A$2:$C$47,3,0)</f>
        <v>1292515919.3162181</v>
      </c>
      <c r="D38" s="162">
        <v>39905</v>
      </c>
      <c r="E38" s="162">
        <v>6398</v>
      </c>
      <c r="F38" s="163">
        <f t="shared" si="0"/>
        <v>0.16033078561583761</v>
      </c>
      <c r="G38" s="164">
        <v>5754.7</v>
      </c>
      <c r="H38" s="165">
        <f t="shared" si="1"/>
        <v>1.1117868872399952</v>
      </c>
      <c r="I38" s="163">
        <f>H38*'[1]2. CY2013 BASE READMISSIONS'!$E$51</f>
        <v>0.13899544554844759</v>
      </c>
      <c r="J38" s="162">
        <v>40104</v>
      </c>
      <c r="K38" s="162">
        <v>6553</v>
      </c>
      <c r="L38" s="163">
        <f t="shared" si="2"/>
        <v>0.16340015958507881</v>
      </c>
      <c r="M38" s="164">
        <v>5888.2</v>
      </c>
      <c r="N38" s="165">
        <f t="shared" si="3"/>
        <v>1.1129037736489928</v>
      </c>
      <c r="O38" s="163">
        <f>N38*'[1]2. CY2013 BASE READMISSIONS'!$E$51</f>
        <v>0.13913507853551313</v>
      </c>
      <c r="P38" s="163">
        <f t="shared" si="9"/>
        <v>1.3131584445040811E-3</v>
      </c>
      <c r="Q38" s="163">
        <f t="shared" si="4"/>
        <v>2.422632072522668E-2</v>
      </c>
      <c r="R38" s="180">
        <f t="shared" si="5"/>
        <v>1.0045867799091113E-3</v>
      </c>
      <c r="S38" s="167">
        <f t="shared" si="6"/>
        <v>-180477.85864389531</v>
      </c>
      <c r="T38" s="121">
        <f t="shared" si="10"/>
        <v>0</v>
      </c>
      <c r="U38" s="125">
        <f t="shared" si="7"/>
        <v>0</v>
      </c>
      <c r="V38" s="168">
        <f t="shared" si="11"/>
        <v>2.0091735598182225E-3</v>
      </c>
      <c r="W38" s="168">
        <f t="shared" si="8"/>
        <v>0.13927471152257867</v>
      </c>
      <c r="X38" s="178">
        <f>IF(V38&lt;=-10%,'1.Readmission Scaling'!$C$12,IF(V38&gt;=8%,'1.Readmission Scaling'!$C$31,'2.RRIP Modeling Results'!AD38*('1.Readmission Scaling'!$C$31/'1.Readmission Scaling'!$F$31)))</f>
        <v>-6.1226287472986177E-3</v>
      </c>
      <c r="Y38" s="122">
        <f t="shared" si="12"/>
        <v>-7913595.1239465782</v>
      </c>
      <c r="Z38" s="178">
        <f>IF($V38&lt;='1.Readmission Scaling'!$B$5,'1.Readmission Scaling'!$D$12,IF($V38&gt;='1.Readmission Scaling'!$A$31,'1.Readmission Scaling'!$D$31,'2.RRIP Modeling Results'!$AD38*('1.Readmission Scaling'!$D$31/'1.Readmission Scaling'!$F$31)))</f>
        <v>-6.1226287472986177E-3</v>
      </c>
      <c r="AA38" s="122">
        <f t="shared" si="13"/>
        <v>-7913595.1239465782</v>
      </c>
      <c r="AB38" s="178">
        <f>IF($V38&lt;='1.Readmission Scaling'!$B$5,'1.Readmission Scaling'!$E$12, IF($V38&lt;0,0,IF($V38&gt;='1.Readmission Scaling'!$A$31,'1.Readmission Scaling'!$E$31,'2.RRIP Modeling Results'!$AD38*('1.Readmission Scaling'!$E$31/'1.Readmission Scaling'!$F$31))))</f>
        <v>-3.0613143736493089E-3</v>
      </c>
      <c r="AC38" s="122">
        <f t="shared" si="14"/>
        <v>-3956797.5619732891</v>
      </c>
      <c r="AD38" s="170">
        <f>V38-'1.Readmission Scaling'!$B$5</f>
        <v>3.4409173559818235E-2</v>
      </c>
    </row>
    <row r="39" spans="1:30" ht="16.95" customHeight="1">
      <c r="A39" s="160">
        <v>210032</v>
      </c>
      <c r="B39" s="161" t="s">
        <v>76</v>
      </c>
      <c r="C39" s="120">
        <f>VLOOKUP(A39,Revenue!$A$2:$C$47,3,0)</f>
        <v>67852188.547545061</v>
      </c>
      <c r="D39" s="162">
        <v>4587</v>
      </c>
      <c r="E39" s="162">
        <v>513</v>
      </c>
      <c r="F39" s="163">
        <f t="shared" si="0"/>
        <v>0.11183780248528449</v>
      </c>
      <c r="G39" s="164">
        <v>635.64</v>
      </c>
      <c r="H39" s="165">
        <f t="shared" si="1"/>
        <v>0.80706060033981497</v>
      </c>
      <c r="I39" s="163">
        <f>H39*'[1]2. CY2013 BASE READMISSIONS'!$E$51</f>
        <v>0.10089860657316332</v>
      </c>
      <c r="J39" s="162">
        <v>4676</v>
      </c>
      <c r="K39" s="162">
        <v>511</v>
      </c>
      <c r="L39" s="163">
        <f t="shared" si="2"/>
        <v>0.1092814371257485</v>
      </c>
      <c r="M39" s="164">
        <v>631.16999999999996</v>
      </c>
      <c r="N39" s="165">
        <f t="shared" si="3"/>
        <v>0.80960755422469388</v>
      </c>
      <c r="O39" s="163">
        <f>N39*'[1]2. CY2013 BASE READMISSIONS'!$E$51</f>
        <v>0.10121702640171422</v>
      </c>
      <c r="P39" s="163">
        <f t="shared" si="9"/>
        <v>2.2336769759450092E-2</v>
      </c>
      <c r="Q39" s="163">
        <f t="shared" si="4"/>
        <v>-3.8986354775828458E-3</v>
      </c>
      <c r="R39" s="166">
        <f t="shared" si="5"/>
        <v>3.155839702503771E-3</v>
      </c>
      <c r="S39" s="167">
        <f t="shared" si="6"/>
        <v>-21605.48224411242</v>
      </c>
      <c r="T39" s="121">
        <f t="shared" si="10"/>
        <v>0</v>
      </c>
      <c r="U39" s="122">
        <f t="shared" si="7"/>
        <v>0</v>
      </c>
      <c r="V39" s="168">
        <f t="shared" si="11"/>
        <v>6.311679405007542E-3</v>
      </c>
      <c r="W39" s="168">
        <f t="shared" si="8"/>
        <v>0.10153544623026511</v>
      </c>
      <c r="X39" s="178">
        <f>IF(V39&lt;=-10%,'1.Readmission Scaling'!$C$12,IF(V39&gt;=8%,'1.Readmission Scaling'!$C$31,'2.RRIP Modeling Results'!AD39*('1.Readmission Scaling'!$C$31/'1.Readmission Scaling'!$F$31)))</f>
        <v>-6.8881991823856849E-3</v>
      </c>
      <c r="Y39" s="122">
        <f t="shared" si="12"/>
        <v>-467379.38967627921</v>
      </c>
      <c r="Z39" s="178">
        <f>IF($V39&lt;='1.Readmission Scaling'!$B$5,'1.Readmission Scaling'!$D$12,IF($V39&gt;='1.Readmission Scaling'!$A$31,'1.Readmission Scaling'!$D$31,'2.RRIP Modeling Results'!$AD39*('1.Readmission Scaling'!$D$31/'1.Readmission Scaling'!$F$31)))</f>
        <v>-6.8881991823856849E-3</v>
      </c>
      <c r="AA39" s="122">
        <f t="shared" si="13"/>
        <v>-467379.38967627921</v>
      </c>
      <c r="AB39" s="178">
        <f>IF($V39&lt;='1.Readmission Scaling'!$B$5,'1.Readmission Scaling'!$E$12, IF($V39&lt;0,0,IF($V39&gt;='1.Readmission Scaling'!$A$31,'1.Readmission Scaling'!$E$31,'2.RRIP Modeling Results'!$AD39*('1.Readmission Scaling'!$E$31/'1.Readmission Scaling'!$F$31))))</f>
        <v>-3.4440995911928425E-3</v>
      </c>
      <c r="AC39" s="122">
        <f t="shared" si="14"/>
        <v>-233689.69483813961</v>
      </c>
      <c r="AD39" s="170">
        <f>V39-'1.Readmission Scaling'!$B$5</f>
        <v>3.8711679405007554E-2</v>
      </c>
    </row>
    <row r="40" spans="1:30" ht="16.95" customHeight="1">
      <c r="A40" s="160">
        <v>210049</v>
      </c>
      <c r="B40" s="161" t="s">
        <v>88</v>
      </c>
      <c r="C40" s="120">
        <f>VLOOKUP(A40,Revenue!$A$2:$C$47,3,0)</f>
        <v>148917095.66517001</v>
      </c>
      <c r="D40" s="162">
        <v>10965</v>
      </c>
      <c r="E40" s="162">
        <v>1195</v>
      </c>
      <c r="F40" s="163">
        <f t="shared" si="0"/>
        <v>0.10898312813497492</v>
      </c>
      <c r="G40" s="164">
        <v>1342.6</v>
      </c>
      <c r="H40" s="165">
        <f t="shared" si="1"/>
        <v>0.89006405481900797</v>
      </c>
      <c r="I40" s="163">
        <f>H40*'[1]2. CY2013 BASE READMISSIONS'!$E$51</f>
        <v>0.111275687171799</v>
      </c>
      <c r="J40" s="162">
        <v>10183</v>
      </c>
      <c r="K40" s="162">
        <v>1121</v>
      </c>
      <c r="L40" s="163">
        <f t="shared" si="2"/>
        <v>0.11008543651183345</v>
      </c>
      <c r="M40" s="164">
        <v>1244</v>
      </c>
      <c r="N40" s="165">
        <f t="shared" si="3"/>
        <v>0.90112540192926049</v>
      </c>
      <c r="O40" s="163">
        <f>N40*'[1]2. CY2013 BASE READMISSIONS'!$E$51</f>
        <v>0.11265857528426124</v>
      </c>
      <c r="P40" s="177">
        <f t="shared" si="9"/>
        <v>-7.2466734902763563E-2</v>
      </c>
      <c r="Q40" s="163">
        <f t="shared" si="4"/>
        <v>-6.1924686192468603E-2</v>
      </c>
      <c r="R40" s="166">
        <f t="shared" si="5"/>
        <v>1.2427585464623414E-2</v>
      </c>
      <c r="S40" s="167">
        <f t="shared" si="6"/>
        <v>-205935.68133776449</v>
      </c>
      <c r="T40" s="121">
        <f t="shared" si="10"/>
        <v>0</v>
      </c>
      <c r="U40" s="122">
        <f t="shared" si="7"/>
        <v>0</v>
      </c>
      <c r="V40" s="168">
        <f t="shared" si="11"/>
        <v>2.4855170929246828E-2</v>
      </c>
      <c r="W40" s="168">
        <f t="shared" si="8"/>
        <v>0.11404146339672347</v>
      </c>
      <c r="X40" s="178">
        <f>IF(V40&lt;=-10%,'1.Readmission Scaling'!$C$12,IF(V40&gt;=8%,'1.Readmission Scaling'!$C$31,'2.RRIP Modeling Results'!AD40*('1.Readmission Scaling'!$C$31/'1.Readmission Scaling'!$F$31)))</f>
        <v>-1.0187752834385558E-2</v>
      </c>
      <c r="Y40" s="122">
        <f t="shared" si="12"/>
        <v>-1517130.5634513011</v>
      </c>
      <c r="Z40" s="178">
        <f>IF($V40&lt;='1.Readmission Scaling'!$B$5,'1.Readmission Scaling'!$D$12,IF($V40&gt;='1.Readmission Scaling'!$A$31,'1.Readmission Scaling'!$D$31,'2.RRIP Modeling Results'!$AD40*('1.Readmission Scaling'!$D$31/'1.Readmission Scaling'!$F$31)))</f>
        <v>-1.0187752834385558E-2</v>
      </c>
      <c r="AA40" s="122">
        <f t="shared" si="13"/>
        <v>-1517130.5634513011</v>
      </c>
      <c r="AB40" s="178">
        <f>IF($V40&lt;='1.Readmission Scaling'!$B$5,'1.Readmission Scaling'!$E$12, IF($V40&lt;0,0,IF($V40&gt;='1.Readmission Scaling'!$A$31,'1.Readmission Scaling'!$E$31,'2.RRIP Modeling Results'!$AD40*('1.Readmission Scaling'!$E$31/'1.Readmission Scaling'!$F$31))))</f>
        <v>-5.0938764171927792E-3</v>
      </c>
      <c r="AC40" s="122">
        <f t="shared" si="14"/>
        <v>-758565.28172565054</v>
      </c>
      <c r="AD40" s="170">
        <f>V40-'1.Readmission Scaling'!$B$5</f>
        <v>5.725517092924684E-2</v>
      </c>
    </row>
    <row r="41" spans="1:30" ht="16.95" customHeight="1">
      <c r="A41" s="160">
        <v>210005</v>
      </c>
      <c r="B41" s="161" t="s">
        <v>56</v>
      </c>
      <c r="C41" s="120">
        <f>VLOOKUP(A41,Revenue!$A$2:$C$47,3,0)</f>
        <v>189480762.70820984</v>
      </c>
      <c r="D41" s="162">
        <v>15470</v>
      </c>
      <c r="E41" s="162">
        <v>1527</v>
      </c>
      <c r="F41" s="163">
        <f t="shared" si="0"/>
        <v>9.8707175177763409E-2</v>
      </c>
      <c r="G41" s="164">
        <v>1848.9</v>
      </c>
      <c r="H41" s="165">
        <f t="shared" si="1"/>
        <v>0.82589647898750607</v>
      </c>
      <c r="I41" s="163">
        <f>H41*'[1]2. CY2013 BASE READMISSIONS'!$E$51</f>
        <v>0.1032534655618601</v>
      </c>
      <c r="J41" s="162">
        <v>14370</v>
      </c>
      <c r="K41" s="162">
        <v>1444</v>
      </c>
      <c r="L41" s="163">
        <f t="shared" si="2"/>
        <v>0.10048712595685456</v>
      </c>
      <c r="M41" s="164">
        <v>1717.6</v>
      </c>
      <c r="N41" s="165">
        <f t="shared" si="3"/>
        <v>0.84070796460177</v>
      </c>
      <c r="O41" s="163">
        <f>N41*'[1]2. CY2013 BASE READMISSIONS'!$E$51</f>
        <v>0.10510519548044173</v>
      </c>
      <c r="P41" s="177">
        <f t="shared" si="9"/>
        <v>-7.2939826436204558E-2</v>
      </c>
      <c r="Q41" s="163">
        <f t="shared" si="4"/>
        <v>-5.4354944335297972E-2</v>
      </c>
      <c r="R41" s="166">
        <f t="shared" si="5"/>
        <v>1.7933828259471207E-2</v>
      </c>
      <c r="S41" s="167">
        <f t="shared" si="6"/>
        <v>-350867.19730245741</v>
      </c>
      <c r="T41" s="121">
        <f t="shared" si="10"/>
        <v>0</v>
      </c>
      <c r="U41" s="122">
        <f t="shared" si="7"/>
        <v>0</v>
      </c>
      <c r="V41" s="168">
        <f t="shared" si="11"/>
        <v>3.5867656518942415E-2</v>
      </c>
      <c r="W41" s="168">
        <f t="shared" si="8"/>
        <v>0.10695692539902335</v>
      </c>
      <c r="X41" s="178">
        <f>IF(V41&lt;=-10%,'1.Readmission Scaling'!$C$12,IF(V41&gt;=8%,'1.Readmission Scaling'!$C$31,'2.RRIP Modeling Results'!AD41*('1.Readmission Scaling'!$C$31/'1.Readmission Scaling'!$F$31)))</f>
        <v>-1.2147269843228189E-2</v>
      </c>
      <c r="Y41" s="122">
        <f t="shared" si="12"/>
        <v>-2301673.9547173139</v>
      </c>
      <c r="Z41" s="178">
        <f>IF($V41&lt;='1.Readmission Scaling'!$B$5,'1.Readmission Scaling'!$D$12,IF($V41&gt;='1.Readmission Scaling'!$A$31,'1.Readmission Scaling'!$D$31,'2.RRIP Modeling Results'!$AD41*('1.Readmission Scaling'!$D$31/'1.Readmission Scaling'!$F$31)))</f>
        <v>-1.2147269843228189E-2</v>
      </c>
      <c r="AA41" s="122">
        <f t="shared" si="13"/>
        <v>-2301673.9547173139</v>
      </c>
      <c r="AB41" s="178">
        <f>IF($V41&lt;='1.Readmission Scaling'!$B$5,'1.Readmission Scaling'!$E$12, IF($V41&lt;0,0,IF($V41&gt;='1.Readmission Scaling'!$A$31,'1.Readmission Scaling'!$E$31,'2.RRIP Modeling Results'!$AD41*('1.Readmission Scaling'!$E$31/'1.Readmission Scaling'!$F$31))))</f>
        <v>-6.0736349216140946E-3</v>
      </c>
      <c r="AC41" s="122">
        <f t="shared" si="14"/>
        <v>-1150836.9773586569</v>
      </c>
      <c r="AD41" s="170">
        <f>V41-'1.Readmission Scaling'!$B$5</f>
        <v>6.8267656518942427E-2</v>
      </c>
    </row>
    <row r="42" spans="1:30" ht="16.95" customHeight="1">
      <c r="A42" s="160">
        <v>210010</v>
      </c>
      <c r="B42" s="161" t="s">
        <v>60</v>
      </c>
      <c r="C42" s="120">
        <f>VLOOKUP(A42,Revenue!$A$2:$C$47,3,0)</f>
        <v>25127934.983499374</v>
      </c>
      <c r="D42" s="162">
        <v>1899</v>
      </c>
      <c r="E42" s="162">
        <v>282</v>
      </c>
      <c r="F42" s="163">
        <f t="shared" si="0"/>
        <v>0.14849921011058451</v>
      </c>
      <c r="G42" s="164">
        <v>328.34</v>
      </c>
      <c r="H42" s="165">
        <f t="shared" si="1"/>
        <v>0.85886580983127248</v>
      </c>
      <c r="I42" s="163">
        <f>H42*'[1]2. CY2013 BASE READMISSIONS'!$E$51</f>
        <v>0.1073752868233428</v>
      </c>
      <c r="J42" s="162">
        <v>1931</v>
      </c>
      <c r="K42" s="162">
        <v>297</v>
      </c>
      <c r="L42" s="163">
        <f t="shared" si="2"/>
        <v>0.15380631796996375</v>
      </c>
      <c r="M42" s="164">
        <v>337.75</v>
      </c>
      <c r="N42" s="165">
        <f t="shared" si="3"/>
        <v>0.8793486306439674</v>
      </c>
      <c r="O42" s="163">
        <f>N42*'[1]2. CY2013 BASE READMISSIONS'!$E$51</f>
        <v>0.10993604629768527</v>
      </c>
      <c r="P42" s="163">
        <f t="shared" si="9"/>
        <v>1.0513296227582014E-2</v>
      </c>
      <c r="Q42" s="163">
        <f t="shared" si="4"/>
        <v>5.3191489361702038E-2</v>
      </c>
      <c r="R42" s="166">
        <f t="shared" si="5"/>
        <v>2.3848685764681798E-2</v>
      </c>
      <c r="S42" s="167">
        <f t="shared" si="6"/>
        <v>-64346.597579657879</v>
      </c>
      <c r="T42" s="121">
        <f t="shared" si="10"/>
        <v>0</v>
      </c>
      <c r="U42" s="122">
        <f t="shared" si="7"/>
        <v>0</v>
      </c>
      <c r="V42" s="168">
        <f t="shared" si="11"/>
        <v>4.7697371529363597E-2</v>
      </c>
      <c r="W42" s="168">
        <f t="shared" si="8"/>
        <v>0.11249680577202775</v>
      </c>
      <c r="X42" s="178">
        <f>IF(V42&lt;=-10%,'1.Readmission Scaling'!$C$12,IF(V42&gt;=8%,'1.Readmission Scaling'!$C$31,'2.RRIP Modeling Results'!AD42*('1.Readmission Scaling'!$C$31/'1.Readmission Scaling'!$F$31)))</f>
        <v>-1.4252201339744412E-2</v>
      </c>
      <c r="Y42" s="122">
        <f t="shared" si="12"/>
        <v>-358128.38863684027</v>
      </c>
      <c r="Z42" s="178">
        <f>IF($V42&lt;='1.Readmission Scaling'!$B$5,'1.Readmission Scaling'!$D$12,IF($V42&gt;='1.Readmission Scaling'!$A$31,'1.Readmission Scaling'!$D$31,'2.RRIP Modeling Results'!$AD42*('1.Readmission Scaling'!$D$31/'1.Readmission Scaling'!$F$31)))</f>
        <v>-1.4252201339744412E-2</v>
      </c>
      <c r="AA42" s="122">
        <f t="shared" si="13"/>
        <v>-358128.38863684027</v>
      </c>
      <c r="AB42" s="178">
        <f>IF($V42&lt;='1.Readmission Scaling'!$B$5,'1.Readmission Scaling'!$E$12, IF($V42&lt;0,0,IF($V42&gt;='1.Readmission Scaling'!$A$31,'1.Readmission Scaling'!$E$31,'2.RRIP Modeling Results'!$AD42*('1.Readmission Scaling'!$E$31/'1.Readmission Scaling'!$F$31))))</f>
        <v>-7.1261006698722061E-3</v>
      </c>
      <c r="AC42" s="122">
        <f t="shared" si="14"/>
        <v>-179064.19431842014</v>
      </c>
      <c r="AD42" s="170">
        <f>V42-'1.Readmission Scaling'!$B$5</f>
        <v>8.0097371529363609E-2</v>
      </c>
    </row>
    <row r="43" spans="1:30" ht="16.95" customHeight="1">
      <c r="A43" s="160">
        <v>210001</v>
      </c>
      <c r="B43" s="161" t="s">
        <v>52</v>
      </c>
      <c r="C43" s="120">
        <f>VLOOKUP(A43,Revenue!$A$2:$C$47,3,0)</f>
        <v>187434496.6631088</v>
      </c>
      <c r="D43" s="162">
        <v>14184</v>
      </c>
      <c r="E43" s="162">
        <v>1539</v>
      </c>
      <c r="F43" s="163">
        <f t="shared" si="0"/>
        <v>0.108502538071066</v>
      </c>
      <c r="G43" s="164">
        <v>1722.8</v>
      </c>
      <c r="H43" s="165">
        <f t="shared" si="1"/>
        <v>0.89331321105177619</v>
      </c>
      <c r="I43" s="163">
        <f>H43*'[1]2. CY2013 BASE READMISSIONS'!$E$51</f>
        <v>0.11168189624245217</v>
      </c>
      <c r="J43" s="162">
        <v>14752</v>
      </c>
      <c r="K43" s="162">
        <v>1623</v>
      </c>
      <c r="L43" s="163">
        <f t="shared" si="2"/>
        <v>0.11001898047722343</v>
      </c>
      <c r="M43" s="164">
        <v>1759.1</v>
      </c>
      <c r="N43" s="165">
        <f t="shared" si="3"/>
        <v>0.92263089079643001</v>
      </c>
      <c r="O43" s="163">
        <f>N43*'[1]2. CY2013 BASE READMISSIONS'!$E$51</f>
        <v>0.11534718857979129</v>
      </c>
      <c r="P43" s="163">
        <f t="shared" si="9"/>
        <v>3.8275998418347168E-2</v>
      </c>
      <c r="Q43" s="163">
        <f t="shared" si="4"/>
        <v>5.4580896686159841E-2</v>
      </c>
      <c r="R43" s="166">
        <f t="shared" si="5"/>
        <v>3.2819037468544199E-2</v>
      </c>
      <c r="S43" s="167">
        <f t="shared" si="6"/>
        <v>-687002.22437230439</v>
      </c>
      <c r="T43" s="121">
        <f t="shared" si="10"/>
        <v>0</v>
      </c>
      <c r="U43" s="122">
        <f t="shared" si="7"/>
        <v>0</v>
      </c>
      <c r="V43" s="168">
        <f t="shared" si="11"/>
        <v>6.5638074937088398E-2</v>
      </c>
      <c r="W43" s="168">
        <f t="shared" si="8"/>
        <v>0.11901248091713038</v>
      </c>
      <c r="X43" s="178">
        <f>IF(V43&lt;=-10%,'1.Readmission Scaling'!$C$12,IF(V43&gt;=8%,'1.Readmission Scaling'!$C$31,'2.RRIP Modeling Results'!AD43*('1.Readmission Scaling'!$C$31/'1.Readmission Scaling'!$F$31)))</f>
        <v>-1.7444497319766619E-2</v>
      </c>
      <c r="Y43" s="122">
        <f t="shared" si="12"/>
        <v>-3269700.5746714068</v>
      </c>
      <c r="Z43" s="178">
        <f>IF($V43&lt;='1.Readmission Scaling'!$B$5,'1.Readmission Scaling'!$D$12,IF($V43&gt;='1.Readmission Scaling'!$A$31,'1.Readmission Scaling'!$D$31,'2.RRIP Modeling Results'!$AD43*('1.Readmission Scaling'!$D$31/'1.Readmission Scaling'!$F$31)))</f>
        <v>-1.7444497319766619E-2</v>
      </c>
      <c r="AA43" s="122">
        <f t="shared" si="13"/>
        <v>-3269700.5746714068</v>
      </c>
      <c r="AB43" s="178">
        <f>IF($V43&lt;='1.Readmission Scaling'!$B$5,'1.Readmission Scaling'!$E$12, IF($V43&lt;0,0,IF($V43&gt;='1.Readmission Scaling'!$A$31,'1.Readmission Scaling'!$E$31,'2.RRIP Modeling Results'!$AD43*('1.Readmission Scaling'!$E$31/'1.Readmission Scaling'!$F$31))))</f>
        <v>-8.7222486598833096E-3</v>
      </c>
      <c r="AC43" s="122">
        <f t="shared" si="14"/>
        <v>-1634850.2873357034</v>
      </c>
      <c r="AD43" s="170">
        <f>V43-'1.Readmission Scaling'!$B$5</f>
        <v>9.803807493708841E-2</v>
      </c>
    </row>
    <row r="44" spans="1:30" ht="16.95" customHeight="1">
      <c r="A44" s="160">
        <v>210035</v>
      </c>
      <c r="B44" s="161" t="s">
        <v>79</v>
      </c>
      <c r="C44" s="120">
        <f>VLOOKUP(A44,Revenue!$A$2:$C$47,3,0)</f>
        <v>76338049.290417254</v>
      </c>
      <c r="D44" s="162">
        <v>6977</v>
      </c>
      <c r="E44" s="162">
        <v>840</v>
      </c>
      <c r="F44" s="163">
        <f t="shared" si="0"/>
        <v>0.12039558549519851</v>
      </c>
      <c r="G44" s="164">
        <v>909.23</v>
      </c>
      <c r="H44" s="165">
        <f t="shared" si="1"/>
        <v>0.92385864962660713</v>
      </c>
      <c r="I44" s="163">
        <f>H44*'[1]2. CY2013 BASE READMISSIONS'!$E$51</f>
        <v>0.11550068282188489</v>
      </c>
      <c r="J44" s="162">
        <v>6627</v>
      </c>
      <c r="K44" s="162">
        <v>805</v>
      </c>
      <c r="L44" s="163">
        <f t="shared" si="2"/>
        <v>0.12147276293948997</v>
      </c>
      <c r="M44" s="164">
        <v>838.7</v>
      </c>
      <c r="N44" s="165">
        <f t="shared" si="3"/>
        <v>0.95981876713962078</v>
      </c>
      <c r="O44" s="163">
        <f>N44*'[1]2. CY2013 BASE READMISSIONS'!$E$51</f>
        <v>0.11999641182630236</v>
      </c>
      <c r="P44" s="177">
        <f t="shared" si="9"/>
        <v>-5.1328010428548176E-2</v>
      </c>
      <c r="Q44" s="163">
        <f t="shared" si="4"/>
        <v>-4.166666666666663E-2</v>
      </c>
      <c r="R44" s="166">
        <f t="shared" si="5"/>
        <v>3.8923830531377934E-2</v>
      </c>
      <c r="S44" s="167">
        <f t="shared" si="6"/>
        <v>-343195.18233558023</v>
      </c>
      <c r="T44" s="121">
        <f t="shared" si="10"/>
        <v>0</v>
      </c>
      <c r="U44" s="122">
        <f t="shared" si="7"/>
        <v>0</v>
      </c>
      <c r="V44" s="168">
        <f t="shared" si="11"/>
        <v>7.7847661062755868E-2</v>
      </c>
      <c r="W44" s="168">
        <f t="shared" si="8"/>
        <v>0.12449214083071986</v>
      </c>
      <c r="X44" s="178">
        <f>IF(V44&lt;=-10%,'1.Readmission Scaling'!$C$12,IF(V44&gt;=8%,'1.Readmission Scaling'!$C$31,'2.RRIP Modeling Results'!AD44*('1.Readmission Scaling'!$C$31/'1.Readmission Scaling'!$F$31)))</f>
        <v>-1.9617021541415636E-2</v>
      </c>
      <c r="Y44" s="122">
        <f t="shared" si="12"/>
        <v>-1497525.157359764</v>
      </c>
      <c r="Z44" s="178">
        <f>IF($V44&lt;='1.Readmission Scaling'!$B$5,'1.Readmission Scaling'!$D$12,IF($V44&gt;='1.Readmission Scaling'!$A$31,'1.Readmission Scaling'!$D$31,'2.RRIP Modeling Results'!$AD44*('1.Readmission Scaling'!$D$31/'1.Readmission Scaling'!$F$31)))</f>
        <v>-1.9617021541415636E-2</v>
      </c>
      <c r="AA44" s="122">
        <f t="shared" si="13"/>
        <v>-1497525.157359764</v>
      </c>
      <c r="AB44" s="178">
        <f>IF($V44&lt;='1.Readmission Scaling'!$B$5,'1.Readmission Scaling'!$E$12, IF($V44&lt;0,0,IF($V44&gt;='1.Readmission Scaling'!$A$31,'1.Readmission Scaling'!$E$31,'2.RRIP Modeling Results'!$AD44*('1.Readmission Scaling'!$E$31/'1.Readmission Scaling'!$F$31))))</f>
        <v>-9.8085107707078182E-3</v>
      </c>
      <c r="AC44" s="122">
        <f t="shared" si="14"/>
        <v>-748762.57867988199</v>
      </c>
      <c r="AD44" s="170">
        <f>V44-'1.Readmission Scaling'!$B$5</f>
        <v>0.11024766106275588</v>
      </c>
    </row>
    <row r="45" spans="1:30" ht="16.95" customHeight="1">
      <c r="A45" s="160">
        <v>210019</v>
      </c>
      <c r="B45" s="161" t="s">
        <v>68</v>
      </c>
      <c r="C45" s="120">
        <f>VLOOKUP(A45,Revenue!$A$2:$C$47,3,0)</f>
        <v>233728496.38738936</v>
      </c>
      <c r="D45" s="162">
        <v>15934</v>
      </c>
      <c r="E45" s="162">
        <v>1729</v>
      </c>
      <c r="F45" s="163">
        <f t="shared" si="0"/>
        <v>0.10851010417974144</v>
      </c>
      <c r="G45" s="164">
        <v>2035.1</v>
      </c>
      <c r="H45" s="165">
        <f t="shared" si="1"/>
        <v>0.84958970075180584</v>
      </c>
      <c r="I45" s="163">
        <f>H45*'[1]2. CY2013 BASE READMISSIONS'!$E$51</f>
        <v>0.10621558892687162</v>
      </c>
      <c r="J45" s="162">
        <v>15560</v>
      </c>
      <c r="K45" s="162">
        <v>1710</v>
      </c>
      <c r="L45" s="163">
        <f t="shared" si="2"/>
        <v>0.10989717223650386</v>
      </c>
      <c r="M45" s="164">
        <v>1934.7</v>
      </c>
      <c r="N45" s="165">
        <f t="shared" si="3"/>
        <v>0.88385796247480231</v>
      </c>
      <c r="O45" s="163">
        <f>N45*'[1]2. CY2013 BASE READMISSIONS'!$E$51</f>
        <v>0.11049980235034809</v>
      </c>
      <c r="P45" s="177">
        <f t="shared" si="9"/>
        <v>-2.4991200281590964E-2</v>
      </c>
      <c r="Q45" s="163">
        <f t="shared" si="4"/>
        <v>-1.098901098901095E-2</v>
      </c>
      <c r="R45" s="166">
        <f t="shared" si="5"/>
        <v>4.0335071967883218E-2</v>
      </c>
      <c r="S45" s="167">
        <f t="shared" si="6"/>
        <v>-1001342.7616718244</v>
      </c>
      <c r="T45" s="121">
        <f t="shared" si="10"/>
        <v>0</v>
      </c>
      <c r="U45" s="122">
        <f t="shared" si="7"/>
        <v>0</v>
      </c>
      <c r="V45" s="168">
        <f t="shared" si="11"/>
        <v>8.0670143935766436E-2</v>
      </c>
      <c r="W45" s="168">
        <f t="shared" si="8"/>
        <v>0.11478401577382455</v>
      </c>
      <c r="X45" s="178">
        <f>IF(V45&lt;=-10%,'1.Readmission Scaling'!$C$12,IF(V45&gt;=8%,'1.Readmission Scaling'!$C$31,'2.RRIP Modeling Results'!AD45*('1.Readmission Scaling'!$C$31/'1.Readmission Scaling'!$F$31)))</f>
        <v>-0.02</v>
      </c>
      <c r="Y45" s="122">
        <f t="shared" si="12"/>
        <v>-4674569.927747787</v>
      </c>
      <c r="Z45" s="178">
        <f>IF($V45&lt;='1.Readmission Scaling'!$B$5,'1.Readmission Scaling'!$D$12,IF($V45&gt;='1.Readmission Scaling'!$A$31,'1.Readmission Scaling'!$D$31,'2.RRIP Modeling Results'!$AD45*('1.Readmission Scaling'!$D$31/'1.Readmission Scaling'!$F$31)))</f>
        <v>-0.02</v>
      </c>
      <c r="AA45" s="122">
        <f t="shared" si="13"/>
        <v>-4674569.927747787</v>
      </c>
      <c r="AB45" s="178">
        <f>IF($V45&lt;='1.Readmission Scaling'!$B$5,'1.Readmission Scaling'!$E$12, IF($V45&lt;0,0,IF($V45&gt;='1.Readmission Scaling'!$A$31,'1.Readmission Scaling'!$E$31,'2.RRIP Modeling Results'!$AD45*('1.Readmission Scaling'!$E$31/'1.Readmission Scaling'!$F$31))))</f>
        <v>-0.01</v>
      </c>
      <c r="AC45" s="122">
        <f t="shared" si="14"/>
        <v>-2337284.9638738935</v>
      </c>
      <c r="AD45" s="170">
        <f>V45-'1.Readmission Scaling'!$B$5</f>
        <v>0.11307014393576645</v>
      </c>
    </row>
    <row r="46" spans="1:30" ht="16.95" customHeight="1">
      <c r="A46" s="160">
        <v>210004</v>
      </c>
      <c r="B46" s="161" t="s">
        <v>55</v>
      </c>
      <c r="C46" s="120">
        <f>VLOOKUP(A46,Revenue!$A$2:$C$47,3,0)</f>
        <v>319596342.21781081</v>
      </c>
      <c r="D46" s="162">
        <v>28763</v>
      </c>
      <c r="E46" s="162">
        <v>2114</v>
      </c>
      <c r="F46" s="163">
        <f t="shared" si="0"/>
        <v>7.3497201265514719E-2</v>
      </c>
      <c r="G46" s="164">
        <v>2375.1999999999998</v>
      </c>
      <c r="H46" s="165">
        <f t="shared" si="1"/>
        <v>0.89003031323678017</v>
      </c>
      <c r="I46" s="163">
        <f>H46*'[1]2. CY2013 BASE READMISSIONS'!$E$51</f>
        <v>0.11127146880377445</v>
      </c>
      <c r="J46" s="162">
        <v>30327</v>
      </c>
      <c r="K46" s="162">
        <v>2413</v>
      </c>
      <c r="L46" s="163">
        <f t="shared" si="2"/>
        <v>7.9566063243974014E-2</v>
      </c>
      <c r="M46" s="164">
        <v>2601.9</v>
      </c>
      <c r="N46" s="165">
        <f t="shared" si="3"/>
        <v>0.92739920827087896</v>
      </c>
      <c r="O46" s="163">
        <f>N46*'[1]2. CY2013 BASE READMISSIONS'!$E$51</f>
        <v>0.11594332298242199</v>
      </c>
      <c r="P46" s="163">
        <f t="shared" si="9"/>
        <v>4.7468948178168047E-2</v>
      </c>
      <c r="Q46" s="163">
        <f t="shared" si="4"/>
        <v>0.14143803216650896</v>
      </c>
      <c r="R46" s="166">
        <f t="shared" si="5"/>
        <v>4.1986092471613556E-2</v>
      </c>
      <c r="S46" s="167">
        <f t="shared" si="6"/>
        <v>-1493107.5068707478</v>
      </c>
      <c r="T46" s="121">
        <f t="shared" si="10"/>
        <v>0</v>
      </c>
      <c r="U46" s="122">
        <f t="shared" si="7"/>
        <v>0</v>
      </c>
      <c r="V46" s="168">
        <f t="shared" si="11"/>
        <v>8.3972184943227113E-2</v>
      </c>
      <c r="W46" s="168">
        <f t="shared" si="8"/>
        <v>0.12061517716106952</v>
      </c>
      <c r="X46" s="178">
        <f>IF(V46&lt;=-10%,'1.Readmission Scaling'!$C$12,IF(V46&gt;=8%,'1.Readmission Scaling'!$C$31,'2.RRIP Modeling Results'!AD46*('1.Readmission Scaling'!$C$31/'1.Readmission Scaling'!$F$31)))</f>
        <v>-0.02</v>
      </c>
      <c r="Y46" s="122">
        <f t="shared" si="12"/>
        <v>-6391926.8443562165</v>
      </c>
      <c r="Z46" s="178">
        <f>IF($V46&lt;='1.Readmission Scaling'!$B$5,'1.Readmission Scaling'!$D$12,IF($V46&gt;='1.Readmission Scaling'!$A$31,'1.Readmission Scaling'!$D$31,'2.RRIP Modeling Results'!$AD46*('1.Readmission Scaling'!$D$31/'1.Readmission Scaling'!$F$31)))</f>
        <v>-0.02</v>
      </c>
      <c r="AA46" s="122">
        <f t="shared" si="13"/>
        <v>-6391926.8443562165</v>
      </c>
      <c r="AB46" s="178">
        <f>IF($V46&lt;='1.Readmission Scaling'!$B$5,'1.Readmission Scaling'!$E$12, IF($V46&lt;0,0,IF($V46&gt;='1.Readmission Scaling'!$A$31,'1.Readmission Scaling'!$E$31,'2.RRIP Modeling Results'!$AD46*('1.Readmission Scaling'!$E$31/'1.Readmission Scaling'!$F$31))))</f>
        <v>-0.01</v>
      </c>
      <c r="AC46" s="122">
        <f t="shared" si="14"/>
        <v>-3195963.4221781082</v>
      </c>
      <c r="AD46" s="170">
        <f>V46-'1.Readmission Scaling'!$B$5</f>
        <v>0.11637218494322712</v>
      </c>
    </row>
    <row r="47" spans="1:30" ht="16.95" customHeight="1">
      <c r="A47" s="160">
        <v>210016</v>
      </c>
      <c r="B47" s="161" t="s">
        <v>65</v>
      </c>
      <c r="C47" s="120">
        <f>VLOOKUP(A47,Revenue!$A$2:$C$47,3,0)</f>
        <v>161698669.47905135</v>
      </c>
      <c r="D47" s="162">
        <v>10732</v>
      </c>
      <c r="E47" s="162">
        <v>1189</v>
      </c>
      <c r="F47" s="163">
        <f t="shared" si="0"/>
        <v>0.11079016026835632</v>
      </c>
      <c r="G47" s="164">
        <v>1378</v>
      </c>
      <c r="H47" s="165">
        <f t="shared" si="1"/>
        <v>0.86284470246734402</v>
      </c>
      <c r="I47" s="163">
        <f>H47*'[1]2. CY2013 BASE READMISSIONS'!$E$51</f>
        <v>0.10787272743996416</v>
      </c>
      <c r="J47" s="162">
        <v>10602</v>
      </c>
      <c r="K47" s="162">
        <v>1184</v>
      </c>
      <c r="L47" s="163">
        <f t="shared" si="2"/>
        <v>0.11167704206753443</v>
      </c>
      <c r="M47" s="164">
        <v>1313.4</v>
      </c>
      <c r="N47" s="165">
        <f t="shared" si="3"/>
        <v>0.90147708238160495</v>
      </c>
      <c r="O47" s="163">
        <f>N47*'[1]2. CY2013 BASE READMISSIONS'!$E$51</f>
        <v>0.11270254232661919</v>
      </c>
      <c r="P47" s="177">
        <f t="shared" si="9"/>
        <v>-1.3098606308288852E-2</v>
      </c>
      <c r="Q47" s="163">
        <f t="shared" si="4"/>
        <v>-4.205214465937801E-3</v>
      </c>
      <c r="R47" s="166">
        <f t="shared" si="5"/>
        <v>4.4773271254711089E-2</v>
      </c>
      <c r="S47" s="167">
        <f t="shared" si="6"/>
        <v>-780974.64100223372</v>
      </c>
      <c r="T47" s="121">
        <f t="shared" si="10"/>
        <v>0</v>
      </c>
      <c r="U47" s="122">
        <f t="shared" si="7"/>
        <v>0</v>
      </c>
      <c r="V47" s="168">
        <f t="shared" si="11"/>
        <v>8.9546542509422178E-2</v>
      </c>
      <c r="W47" s="168">
        <f t="shared" si="8"/>
        <v>0.11753235721327422</v>
      </c>
      <c r="X47" s="178">
        <f>IF(V47&lt;=-10%,'1.Readmission Scaling'!$C$12,IF(V47&gt;=8%,'1.Readmission Scaling'!$C$31,'2.RRIP Modeling Results'!AD47*('1.Readmission Scaling'!$C$31/'1.Readmission Scaling'!$F$31)))</f>
        <v>-0.02</v>
      </c>
      <c r="Y47" s="122">
        <f t="shared" si="12"/>
        <v>-3233973.389581027</v>
      </c>
      <c r="Z47" s="178">
        <f>IF($V47&lt;='1.Readmission Scaling'!$B$5,'1.Readmission Scaling'!$D$12,IF($V47&gt;='1.Readmission Scaling'!$A$31,'1.Readmission Scaling'!$D$31,'2.RRIP Modeling Results'!$AD47*('1.Readmission Scaling'!$D$31/'1.Readmission Scaling'!$F$31)))</f>
        <v>-0.02</v>
      </c>
      <c r="AA47" s="122">
        <f t="shared" si="13"/>
        <v>-3233973.389581027</v>
      </c>
      <c r="AB47" s="178">
        <f>IF($V47&lt;='1.Readmission Scaling'!$B$5,'1.Readmission Scaling'!$E$12, IF($V47&lt;0,0,IF($V47&gt;='1.Readmission Scaling'!$A$31,'1.Readmission Scaling'!$E$31,'2.RRIP Modeling Results'!$AD47*('1.Readmission Scaling'!$E$31/'1.Readmission Scaling'!$F$31))))</f>
        <v>-0.01</v>
      </c>
      <c r="AC47" s="122">
        <f t="shared" si="14"/>
        <v>-1616986.6947905135</v>
      </c>
      <c r="AD47" s="170">
        <f>V47-'1.Readmission Scaling'!$B$5</f>
        <v>0.12194654250942219</v>
      </c>
    </row>
    <row r="48" spans="1:30" ht="16.95" customHeight="1">
      <c r="A48" s="160">
        <v>210037</v>
      </c>
      <c r="B48" s="161" t="s">
        <v>80</v>
      </c>
      <c r="C48" s="120">
        <f>VLOOKUP(A48,Revenue!$A$2:$C$47,3,0)</f>
        <v>94828131.850859523</v>
      </c>
      <c r="D48" s="162">
        <v>6981</v>
      </c>
      <c r="E48" s="162">
        <v>652</v>
      </c>
      <c r="F48" s="163">
        <f t="shared" si="0"/>
        <v>9.3396361552786133E-2</v>
      </c>
      <c r="G48" s="164">
        <v>787.72</v>
      </c>
      <c r="H48" s="165">
        <f t="shared" si="1"/>
        <v>0.8277052759863911</v>
      </c>
      <c r="I48" s="163">
        <f>H48*'[1]2. CY2013 BASE READMISSIONS'!$E$51</f>
        <v>0.10347960111684119</v>
      </c>
      <c r="J48" s="162">
        <v>6808</v>
      </c>
      <c r="K48" s="162">
        <v>722</v>
      </c>
      <c r="L48" s="163">
        <f t="shared" si="2"/>
        <v>0.10605170387779084</v>
      </c>
      <c r="M48" s="164">
        <v>761.84</v>
      </c>
      <c r="N48" s="165">
        <f t="shared" si="3"/>
        <v>0.94770555497217257</v>
      </c>
      <c r="O48" s="163">
        <f>N48*'[1]2. CY2013 BASE READMISSIONS'!$E$51</f>
        <v>0.1184820196873403</v>
      </c>
      <c r="P48" s="172">
        <f t="shared" si="9"/>
        <v>-3.8394691104439826E-2</v>
      </c>
      <c r="Q48" s="163">
        <f t="shared" si="4"/>
        <v>0.1073619631901841</v>
      </c>
      <c r="R48" s="166">
        <f t="shared" si="5"/>
        <v>0.14497947816361934</v>
      </c>
      <c r="S48" s="167">
        <f t="shared" si="6"/>
        <v>-1422651.3262850738</v>
      </c>
      <c r="T48" s="121">
        <f t="shared" si="10"/>
        <v>0</v>
      </c>
      <c r="U48" s="122">
        <f t="shared" si="7"/>
        <v>0</v>
      </c>
      <c r="V48" s="168">
        <f t="shared" si="11"/>
        <v>0.28995895632723867</v>
      </c>
      <c r="W48" s="168">
        <f t="shared" si="8"/>
        <v>0.13348443825783943</v>
      </c>
      <c r="X48" s="178">
        <f>IF(V48&lt;=-10%,'1.Readmission Scaling'!$C$12,IF(V48&gt;=8%,'1.Readmission Scaling'!$C$31,'2.RRIP Modeling Results'!AD48*('1.Readmission Scaling'!$C$31/'1.Readmission Scaling'!$F$31)))</f>
        <v>-0.02</v>
      </c>
      <c r="Y48" s="122">
        <f t="shared" si="12"/>
        <v>-1896562.6370171905</v>
      </c>
      <c r="Z48" s="178">
        <f>IF($V48&lt;='1.Readmission Scaling'!$B$5,'1.Readmission Scaling'!$D$12,IF($V48&gt;='1.Readmission Scaling'!$A$31,'1.Readmission Scaling'!$D$31,'2.RRIP Modeling Results'!$AD48*('1.Readmission Scaling'!$D$31/'1.Readmission Scaling'!$F$31)))</f>
        <v>-0.02</v>
      </c>
      <c r="AA48" s="122">
        <f t="shared" si="13"/>
        <v>-1896562.6370171905</v>
      </c>
      <c r="AB48" s="178">
        <f>IF($V48&lt;='1.Readmission Scaling'!$B$5,'1.Readmission Scaling'!$E$12, IF($V48&lt;0,0,IF($V48&gt;='1.Readmission Scaling'!$A$31,'1.Readmission Scaling'!$E$31,'2.RRIP Modeling Results'!$AD48*('1.Readmission Scaling'!$E$31/'1.Readmission Scaling'!$F$31))))</f>
        <v>-0.01</v>
      </c>
      <c r="AC48" s="122">
        <f t="shared" si="14"/>
        <v>-948281.31850859523</v>
      </c>
      <c r="AD48" s="170">
        <f>V48-'1.Readmission Scaling'!$B$5</f>
        <v>0.32235895632723865</v>
      </c>
    </row>
    <row r="49" spans="1:30" ht="16.95" customHeight="1">
      <c r="A49" s="347" t="s">
        <v>98</v>
      </c>
      <c r="B49" s="347"/>
      <c r="C49" s="126">
        <f>SUM(C3:C48)</f>
        <v>8961031432.2934761</v>
      </c>
      <c r="D49" s="182">
        <f>SUM(D3:D48)</f>
        <v>525102</v>
      </c>
      <c r="E49" s="182">
        <f>SUM(E3:E48)</f>
        <v>65258</v>
      </c>
      <c r="F49" s="183">
        <f t="shared" ref="F49" si="15">E49/D49</f>
        <v>0.12427680717270169</v>
      </c>
      <c r="G49" s="182">
        <f>SUM(G3:G48)</f>
        <v>65550.075999999986</v>
      </c>
      <c r="H49" s="184">
        <f t="shared" ref="H49" si="16">E49/G49</f>
        <v>0.99554423094795519</v>
      </c>
      <c r="I49" s="183">
        <f>H49*'[1]2. CY2013 BASE READMISSIONS'!$E$51</f>
        <v>0.12446280445645079</v>
      </c>
      <c r="J49" s="182">
        <f>SUM(J3:J48)</f>
        <v>508076</v>
      </c>
      <c r="K49" s="182">
        <f>SUM(K3:K48)</f>
        <v>60885</v>
      </c>
      <c r="L49" s="183">
        <f>K49/J49</f>
        <v>0.11983443421850275</v>
      </c>
      <c r="M49" s="182">
        <f>SUM(M3:M48)</f>
        <v>63563.797999999981</v>
      </c>
      <c r="N49" s="184">
        <f t="shared" si="3"/>
        <v>0.95785654595403535</v>
      </c>
      <c r="O49" s="183">
        <f>N49*'[1]2. CY2013 BASE READMISSIONS'!$E$51</f>
        <v>0.11975109520035067</v>
      </c>
      <c r="P49" s="163">
        <f>J49/D49-1</f>
        <v>-3.2424176636158264E-2</v>
      </c>
      <c r="Q49" s="163">
        <f>K49/E49-1</f>
        <v>-6.7010941187287343E-2</v>
      </c>
      <c r="R49" s="185">
        <f>O49/I49-1</f>
        <v>-3.7856364209989612E-2</v>
      </c>
      <c r="S49" s="167">
        <f>-C49*I49*R49</f>
        <v>42221774.743741281</v>
      </c>
      <c r="T49" s="185"/>
      <c r="U49" s="186">
        <f>SUM(U3:U48)</f>
        <v>10551609.907827411</v>
      </c>
      <c r="V49" s="168">
        <f t="shared" si="11"/>
        <v>-7.5712728419979225E-2</v>
      </c>
      <c r="W49" s="168">
        <f t="shared" si="8"/>
        <v>0.11503938594425055</v>
      </c>
      <c r="X49" s="168"/>
      <c r="Y49" s="186">
        <f>SUM(Y3:Y48)</f>
        <v>7239408.4274612051</v>
      </c>
      <c r="Z49" s="152"/>
      <c r="AA49" s="186">
        <f>SUM(AA3:AA48)</f>
        <v>-11052095.805175425</v>
      </c>
      <c r="AB49" s="152"/>
      <c r="AC49" s="186">
        <f>SUM(AC3:AC48)</f>
        <v>32390763.806833297</v>
      </c>
      <c r="AD49" s="181">
        <f>-10%-R49</f>
        <v>-6.2143635790010393E-2</v>
      </c>
    </row>
    <row r="50" spans="1:30">
      <c r="B50" s="153" t="s">
        <v>157</v>
      </c>
      <c r="Y50" s="247">
        <f>SUMIF(Y3:Y48,"&lt;0",Y3:Y48)</f>
        <v>-35628019.1963825</v>
      </c>
      <c r="AA50" s="247">
        <f>SUMIF(AA3:AA48,"&lt;0",AA3:AA48)</f>
        <v>-35628019.1963825</v>
      </c>
      <c r="AC50" s="247">
        <f>SUMIF(AC3:AC48,"&lt;0",AC3:AC48)</f>
        <v>-16761082.975580852</v>
      </c>
    </row>
    <row r="51" spans="1:30">
      <c r="B51" s="153" t="s">
        <v>156</v>
      </c>
      <c r="Y51" s="247">
        <f>SUMIF(Y3:Y48,"&gt;0",Y3:Y48)</f>
        <v>42867427.6238437</v>
      </c>
      <c r="AA51" s="247">
        <f>SUMIF(AA3:AA48,"&gt;0",AA3:AA48)</f>
        <v>24575923.391207073</v>
      </c>
      <c r="AC51" s="247">
        <f>SUMIF(AC3:AC48,"&gt;0",AC3:AC48)</f>
        <v>49151846.782414146</v>
      </c>
    </row>
    <row r="54" spans="1:30">
      <c r="A54" s="153" t="s">
        <v>204</v>
      </c>
      <c r="P54" s="187" t="s">
        <v>205</v>
      </c>
    </row>
    <row r="55" spans="1:30">
      <c r="A55" s="153" t="s">
        <v>206</v>
      </c>
      <c r="P55" s="188" t="s">
        <v>207</v>
      </c>
    </row>
    <row r="56" spans="1:30">
      <c r="A56" s="153" t="s">
        <v>208</v>
      </c>
    </row>
    <row r="58" spans="1:30">
      <c r="A58" s="153">
        <v>1</v>
      </c>
      <c r="B58" s="153">
        <f>A58+1</f>
        <v>2</v>
      </c>
      <c r="C58" s="153">
        <f t="shared" ref="C58:X58" si="17">B58+1</f>
        <v>3</v>
      </c>
      <c r="D58" s="153">
        <f t="shared" si="17"/>
        <v>4</v>
      </c>
      <c r="E58" s="153">
        <f t="shared" si="17"/>
        <v>5</v>
      </c>
      <c r="F58" s="153">
        <f t="shared" si="17"/>
        <v>6</v>
      </c>
      <c r="G58" s="153">
        <f t="shared" si="17"/>
        <v>7</v>
      </c>
      <c r="H58" s="153">
        <f t="shared" si="17"/>
        <v>8</v>
      </c>
      <c r="I58" s="153">
        <f t="shared" si="17"/>
        <v>9</v>
      </c>
      <c r="J58" s="153">
        <f t="shared" si="17"/>
        <v>10</v>
      </c>
      <c r="K58" s="153">
        <f t="shared" si="17"/>
        <v>11</v>
      </c>
      <c r="L58" s="153">
        <f t="shared" si="17"/>
        <v>12</v>
      </c>
      <c r="M58" s="153">
        <f t="shared" si="17"/>
        <v>13</v>
      </c>
      <c r="N58" s="153">
        <f t="shared" si="17"/>
        <v>14</v>
      </c>
      <c r="O58" s="153">
        <f t="shared" si="17"/>
        <v>15</v>
      </c>
      <c r="P58" s="153">
        <f t="shared" si="17"/>
        <v>16</v>
      </c>
      <c r="Q58" s="153">
        <f t="shared" si="17"/>
        <v>17</v>
      </c>
      <c r="R58" s="153">
        <f t="shared" si="17"/>
        <v>18</v>
      </c>
      <c r="S58" s="153">
        <f t="shared" si="17"/>
        <v>19</v>
      </c>
      <c r="T58" s="153">
        <f t="shared" si="17"/>
        <v>20</v>
      </c>
      <c r="U58" s="153">
        <f t="shared" si="17"/>
        <v>21</v>
      </c>
      <c r="V58" s="153">
        <f t="shared" si="17"/>
        <v>22</v>
      </c>
      <c r="W58" s="153">
        <f t="shared" si="17"/>
        <v>23</v>
      </c>
      <c r="X58" s="153">
        <f t="shared" si="17"/>
        <v>24</v>
      </c>
    </row>
    <row r="59" spans="1:30">
      <c r="K59" s="269">
        <f>J49*W49</f>
        <v>58448.751053011038</v>
      </c>
    </row>
  </sheetData>
  <autoFilter ref="A2:AD49"/>
  <mergeCells count="4">
    <mergeCell ref="X1:Y1"/>
    <mergeCell ref="Z1:AA1"/>
    <mergeCell ref="AB1:AC1"/>
    <mergeCell ref="A49:B49"/>
  </mergeCells>
  <pageMargins left="0.7" right="0.7" top="0.75" bottom="0.75" header="0.3" footer="0.3"/>
  <pageSetup scale="28" orientation="portrait" r:id="rId1"/>
  <headerFooter>
    <oddFooter>&amp;CHSCRC Work Group Meeting
Feb 2,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workbookViewId="0">
      <selection activeCell="E15" sqref="E15"/>
    </sheetView>
  </sheetViews>
  <sheetFormatPr defaultColWidth="9.109375" defaultRowHeight="14.4"/>
  <cols>
    <col min="1" max="1" width="14.6640625" style="36" customWidth="1"/>
    <col min="2" max="2" width="12" style="37" customWidth="1"/>
    <col min="3" max="3" width="11.33203125" style="36" customWidth="1"/>
    <col min="4" max="248" width="9.109375" style="36"/>
    <col min="249" max="16384" width="9.109375" style="11"/>
  </cols>
  <sheetData>
    <row r="1" spans="1:3">
      <c r="A1" s="47" t="s">
        <v>250</v>
      </c>
    </row>
    <row r="2" spans="1:3">
      <c r="A2" s="348"/>
      <c r="B2" s="348"/>
    </row>
    <row r="3" spans="1:3" ht="57.6">
      <c r="A3" s="349" t="s">
        <v>130</v>
      </c>
      <c r="B3" s="350"/>
      <c r="C3" s="46" t="s">
        <v>128</v>
      </c>
    </row>
    <row r="4" spans="1:3" ht="28.8">
      <c r="A4" s="41" t="s">
        <v>127</v>
      </c>
      <c r="B4" s="87">
        <f>'4.QBR Modeling Results'!D3</f>
        <v>4.9999999999999996E-2</v>
      </c>
      <c r="C4" s="88">
        <f>'7Aggregate Summary'!B7</f>
        <v>-0.02</v>
      </c>
    </row>
    <row r="5" spans="1:3">
      <c r="A5" s="44"/>
      <c r="B5" s="89">
        <f t="shared" ref="B5:B63" si="0">B4+0.01</f>
        <v>0.06</v>
      </c>
      <c r="C5" s="90">
        <f>$C$4- ((B5-$B$4)*($C$4/($C$66-$B$4)))</f>
        <v>-1.9459991390002256E-2</v>
      </c>
    </row>
    <row r="6" spans="1:3">
      <c r="A6" s="44"/>
      <c r="B6" s="89">
        <f t="shared" si="0"/>
        <v>6.9999999999999993E-2</v>
      </c>
      <c r="C6" s="90">
        <f>$C$4- ((B6-$B$4)*($C$4/($C$66-$B$4)))</f>
        <v>-1.8919982780004511E-2</v>
      </c>
    </row>
    <row r="7" spans="1:3">
      <c r="A7" s="44"/>
      <c r="B7" s="89">
        <f t="shared" si="0"/>
        <v>7.9999999999999988E-2</v>
      </c>
      <c r="C7" s="90">
        <f t="shared" ref="C7:C33" si="1">$C$4- ((B7-$B$4)*($C$4/($C$66-$B$4)))</f>
        <v>-1.8379974170006769E-2</v>
      </c>
    </row>
    <row r="8" spans="1:3">
      <c r="A8" s="44"/>
      <c r="B8" s="89">
        <f t="shared" si="0"/>
        <v>8.9999999999999983E-2</v>
      </c>
      <c r="C8" s="90">
        <f t="shared" si="1"/>
        <v>-1.7839965560009025E-2</v>
      </c>
    </row>
    <row r="9" spans="1:3">
      <c r="A9" s="44"/>
      <c r="B9" s="89">
        <f t="shared" si="0"/>
        <v>9.9999999999999978E-2</v>
      </c>
      <c r="C9" s="90">
        <f t="shared" si="1"/>
        <v>-1.729995695001128E-2</v>
      </c>
    </row>
    <row r="10" spans="1:3" hidden="1">
      <c r="A10" s="44"/>
      <c r="B10" s="89">
        <f t="shared" si="0"/>
        <v>0.10999999999999997</v>
      </c>
      <c r="C10" s="90">
        <f t="shared" si="1"/>
        <v>-1.6759948340013535E-2</v>
      </c>
    </row>
    <row r="11" spans="1:3" hidden="1">
      <c r="A11" s="44"/>
      <c r="B11" s="89">
        <f t="shared" si="0"/>
        <v>0.11999999999999997</v>
      </c>
      <c r="C11" s="90">
        <f t="shared" si="1"/>
        <v>-1.621993973001579E-2</v>
      </c>
    </row>
    <row r="12" spans="1:3" hidden="1">
      <c r="A12" s="44"/>
      <c r="B12" s="89">
        <f t="shared" si="0"/>
        <v>0.12999999999999998</v>
      </c>
      <c r="C12" s="90">
        <f t="shared" si="1"/>
        <v>-1.5679931120018045E-2</v>
      </c>
    </row>
    <row r="13" spans="1:3" hidden="1">
      <c r="A13" s="44"/>
      <c r="B13" s="89">
        <f t="shared" si="0"/>
        <v>0.13999999999999999</v>
      </c>
      <c r="C13" s="90">
        <f t="shared" si="1"/>
        <v>-1.51399225100203E-2</v>
      </c>
    </row>
    <row r="14" spans="1:3" hidden="1">
      <c r="A14" s="44"/>
      <c r="B14" s="89">
        <f t="shared" si="0"/>
        <v>0.15</v>
      </c>
      <c r="C14" s="90">
        <f t="shared" si="1"/>
        <v>-1.4599913900022556E-2</v>
      </c>
    </row>
    <row r="15" spans="1:3" hidden="1">
      <c r="A15" s="44"/>
      <c r="B15" s="89">
        <f t="shared" si="0"/>
        <v>0.16</v>
      </c>
      <c r="C15" s="90">
        <f t="shared" si="1"/>
        <v>-1.4059905290024811E-2</v>
      </c>
    </row>
    <row r="16" spans="1:3" hidden="1">
      <c r="A16" s="44"/>
      <c r="B16" s="89">
        <f t="shared" si="0"/>
        <v>0.17</v>
      </c>
      <c r="C16" s="90">
        <f t="shared" si="1"/>
        <v>-1.3519896680027066E-2</v>
      </c>
    </row>
    <row r="17" spans="1:3" hidden="1">
      <c r="A17" s="44"/>
      <c r="B17" s="89">
        <f t="shared" si="0"/>
        <v>0.18000000000000002</v>
      </c>
      <c r="C17" s="90">
        <f t="shared" si="1"/>
        <v>-1.2979888070029321E-2</v>
      </c>
    </row>
    <row r="18" spans="1:3" hidden="1">
      <c r="A18" s="44"/>
      <c r="B18" s="89">
        <f t="shared" si="0"/>
        <v>0.19000000000000003</v>
      </c>
      <c r="C18" s="90">
        <f t="shared" si="1"/>
        <v>-1.2439879460031576E-2</v>
      </c>
    </row>
    <row r="19" spans="1:3">
      <c r="A19" s="44"/>
      <c r="B19" s="89">
        <f t="shared" si="0"/>
        <v>0.20000000000000004</v>
      </c>
      <c r="C19" s="90">
        <f t="shared" si="1"/>
        <v>-1.1899870850033833E-2</v>
      </c>
    </row>
    <row r="20" spans="1:3" hidden="1">
      <c r="A20" s="44"/>
      <c r="B20" s="89">
        <f t="shared" si="0"/>
        <v>0.21000000000000005</v>
      </c>
      <c r="C20" s="90">
        <f t="shared" si="1"/>
        <v>-1.1359862240036088E-2</v>
      </c>
    </row>
    <row r="21" spans="1:3" hidden="1">
      <c r="A21" s="44"/>
      <c r="B21" s="89">
        <f t="shared" si="0"/>
        <v>0.22000000000000006</v>
      </c>
      <c r="C21" s="90">
        <f t="shared" si="1"/>
        <v>-1.0819853630038343E-2</v>
      </c>
    </row>
    <row r="22" spans="1:3" hidden="1">
      <c r="A22" s="44"/>
      <c r="B22" s="89">
        <f t="shared" si="0"/>
        <v>0.23000000000000007</v>
      </c>
      <c r="C22" s="90">
        <f t="shared" si="1"/>
        <v>-1.0279845020040599E-2</v>
      </c>
    </row>
    <row r="23" spans="1:3" hidden="1">
      <c r="A23" s="44"/>
      <c r="B23" s="89">
        <f t="shared" si="0"/>
        <v>0.24000000000000007</v>
      </c>
      <c r="C23" s="90">
        <f t="shared" si="1"/>
        <v>-9.7398364100428538E-3</v>
      </c>
    </row>
    <row r="24" spans="1:3" hidden="1">
      <c r="A24" s="44"/>
      <c r="B24" s="89">
        <f t="shared" si="0"/>
        <v>0.25000000000000006</v>
      </c>
      <c r="C24" s="90">
        <f t="shared" si="1"/>
        <v>-9.1998278000451107E-3</v>
      </c>
    </row>
    <row r="25" spans="1:3" hidden="1">
      <c r="A25" s="44"/>
      <c r="B25" s="89">
        <f t="shared" si="0"/>
        <v>0.26000000000000006</v>
      </c>
      <c r="C25" s="90">
        <f t="shared" si="1"/>
        <v>-8.6598191900473659E-3</v>
      </c>
    </row>
    <row r="26" spans="1:3" hidden="1">
      <c r="A26" s="44"/>
      <c r="B26" s="89">
        <f t="shared" si="0"/>
        <v>0.27000000000000007</v>
      </c>
      <c r="C26" s="90">
        <f t="shared" si="1"/>
        <v>-8.1198105800496211E-3</v>
      </c>
    </row>
    <row r="27" spans="1:3" hidden="1">
      <c r="A27" s="44"/>
      <c r="B27" s="89">
        <f t="shared" si="0"/>
        <v>0.28000000000000008</v>
      </c>
      <c r="C27" s="90">
        <f t="shared" si="1"/>
        <v>-7.5798019700518762E-3</v>
      </c>
    </row>
    <row r="28" spans="1:3" hidden="1">
      <c r="A28" s="44"/>
      <c r="B28" s="89">
        <f t="shared" si="0"/>
        <v>0.29000000000000009</v>
      </c>
      <c r="C28" s="90">
        <f t="shared" si="1"/>
        <v>-7.0397933600541314E-3</v>
      </c>
    </row>
    <row r="29" spans="1:3">
      <c r="A29" s="44"/>
      <c r="B29" s="89">
        <f t="shared" si="0"/>
        <v>0.3000000000000001</v>
      </c>
      <c r="C29" s="90">
        <f t="shared" si="1"/>
        <v>-6.4997847500563866E-3</v>
      </c>
    </row>
    <row r="30" spans="1:3" hidden="1">
      <c r="A30" s="44"/>
      <c r="B30" s="89">
        <f t="shared" si="0"/>
        <v>0.31000000000000011</v>
      </c>
      <c r="C30" s="90">
        <f t="shared" si="1"/>
        <v>-5.9597761400586417E-3</v>
      </c>
    </row>
    <row r="31" spans="1:3" hidden="1">
      <c r="A31" s="44"/>
      <c r="B31" s="89">
        <f t="shared" si="0"/>
        <v>0.32000000000000012</v>
      </c>
      <c r="C31" s="90">
        <f t="shared" si="1"/>
        <v>-5.4197675300608969E-3</v>
      </c>
    </row>
    <row r="32" spans="1:3" hidden="1">
      <c r="A32" s="44"/>
      <c r="B32" s="89">
        <f t="shared" si="0"/>
        <v>0.33000000000000013</v>
      </c>
      <c r="C32" s="90">
        <f t="shared" si="1"/>
        <v>-4.8797589200631521E-3</v>
      </c>
    </row>
    <row r="33" spans="1:3" hidden="1">
      <c r="A33" s="44"/>
      <c r="B33" s="89">
        <f t="shared" si="0"/>
        <v>0.34000000000000014</v>
      </c>
      <c r="C33" s="90">
        <f t="shared" si="1"/>
        <v>-4.3397503100654072E-3</v>
      </c>
    </row>
    <row r="34" spans="1:3" hidden="1">
      <c r="A34" s="44"/>
      <c r="B34" s="89">
        <f t="shared" si="0"/>
        <v>0.35000000000000014</v>
      </c>
      <c r="C34" s="90">
        <f t="shared" ref="C34:C62" si="2">$C$64- ((B34-$B$64)*($C$64/($C$67-$B$64)))</f>
        <v>-2.5357337529508528E-3</v>
      </c>
    </row>
    <row r="35" spans="1:3" hidden="1">
      <c r="A35" s="44"/>
      <c r="B35" s="89">
        <f t="shared" si="0"/>
        <v>0.36000000000000015</v>
      </c>
      <c r="C35" s="90">
        <f t="shared" si="2"/>
        <v>-2.1753623994899135E-3</v>
      </c>
    </row>
    <row r="36" spans="1:3" hidden="1">
      <c r="A36" s="44"/>
      <c r="B36" s="89">
        <f t="shared" si="0"/>
        <v>0.37000000000000016</v>
      </c>
      <c r="C36" s="90">
        <f t="shared" si="2"/>
        <v>-1.8149910460289725E-3</v>
      </c>
    </row>
    <row r="37" spans="1:3" hidden="1">
      <c r="A37" s="44"/>
      <c r="B37" s="89">
        <f t="shared" si="0"/>
        <v>0.38000000000000017</v>
      </c>
      <c r="C37" s="90">
        <f t="shared" si="2"/>
        <v>-1.4546196925680332E-3</v>
      </c>
    </row>
    <row r="38" spans="1:3" hidden="1">
      <c r="A38" s="44"/>
      <c r="B38" s="89">
        <f t="shared" si="0"/>
        <v>0.39000000000000018</v>
      </c>
      <c r="C38" s="90">
        <f t="shared" si="2"/>
        <v>-1.0942483391070939E-3</v>
      </c>
    </row>
    <row r="39" spans="1:3">
      <c r="A39" s="44"/>
      <c r="B39" s="89">
        <f t="shared" si="0"/>
        <v>0.40000000000000019</v>
      </c>
      <c r="C39" s="90">
        <f t="shared" si="2"/>
        <v>-7.3387698564615286E-4</v>
      </c>
    </row>
    <row r="40" spans="1:3" hidden="1">
      <c r="A40" s="44"/>
      <c r="B40" s="89">
        <f t="shared" si="0"/>
        <v>0.4100000000000002</v>
      </c>
      <c r="C40" s="90">
        <f t="shared" si="2"/>
        <v>-3.7350563218521357E-4</v>
      </c>
    </row>
    <row r="41" spans="1:3" hidden="1">
      <c r="A41" s="44"/>
      <c r="B41" s="43">
        <f t="shared" si="0"/>
        <v>0.42000000000000021</v>
      </c>
      <c r="C41" s="42">
        <f t="shared" si="2"/>
        <v>-1.3134278724274279E-5</v>
      </c>
    </row>
    <row r="42" spans="1:3" hidden="1">
      <c r="A42" s="44"/>
      <c r="B42" s="43">
        <f t="shared" si="0"/>
        <v>0.43000000000000022</v>
      </c>
      <c r="C42" s="42">
        <f t="shared" si="2"/>
        <v>3.4723707473666501E-4</v>
      </c>
    </row>
    <row r="43" spans="1:3" hidden="1">
      <c r="A43" s="44"/>
      <c r="B43" s="43">
        <f t="shared" si="0"/>
        <v>0.44000000000000022</v>
      </c>
      <c r="C43" s="42">
        <f t="shared" si="2"/>
        <v>7.0760842819760604E-4</v>
      </c>
    </row>
    <row r="44" spans="1:3" hidden="1">
      <c r="A44" s="44"/>
      <c r="B44" s="43">
        <f t="shared" si="0"/>
        <v>0.45000000000000023</v>
      </c>
      <c r="C44" s="42">
        <f t="shared" si="2"/>
        <v>1.0679797816585453E-3</v>
      </c>
    </row>
    <row r="45" spans="1:3" hidden="1">
      <c r="A45" s="44"/>
      <c r="B45" s="43">
        <f t="shared" si="0"/>
        <v>0.46000000000000024</v>
      </c>
      <c r="C45" s="42">
        <f t="shared" si="2"/>
        <v>1.4283511351194846E-3</v>
      </c>
    </row>
    <row r="46" spans="1:3" hidden="1">
      <c r="A46" s="44"/>
      <c r="B46" s="43">
        <f t="shared" si="0"/>
        <v>0.47000000000000025</v>
      </c>
      <c r="C46" s="42">
        <f t="shared" si="2"/>
        <v>1.7887224885804257E-3</v>
      </c>
    </row>
    <row r="47" spans="1:3" hidden="1">
      <c r="A47" s="44"/>
      <c r="B47" s="43">
        <f t="shared" si="0"/>
        <v>0.48000000000000026</v>
      </c>
      <c r="C47" s="42">
        <f t="shared" si="2"/>
        <v>2.1490938420413649E-3</v>
      </c>
    </row>
    <row r="48" spans="1:3" hidden="1">
      <c r="A48" s="44"/>
      <c r="B48" s="43">
        <f t="shared" si="0"/>
        <v>0.49000000000000027</v>
      </c>
      <c r="C48" s="42">
        <f t="shared" si="2"/>
        <v>2.5094651955023042E-3</v>
      </c>
    </row>
    <row r="49" spans="1:250">
      <c r="A49" s="44"/>
      <c r="B49" s="43">
        <f t="shared" si="0"/>
        <v>0.50000000000000022</v>
      </c>
      <c r="C49" s="42">
        <f t="shared" si="2"/>
        <v>2.8698365489632427E-3</v>
      </c>
    </row>
    <row r="50" spans="1:250" hidden="1">
      <c r="A50" s="44"/>
      <c r="B50" s="43">
        <f t="shared" si="0"/>
        <v>0.51000000000000023</v>
      </c>
      <c r="C50" s="42">
        <f t="shared" si="2"/>
        <v>3.230207902424182E-3</v>
      </c>
    </row>
    <row r="51" spans="1:250" hidden="1">
      <c r="A51" s="44"/>
      <c r="B51" s="43">
        <f t="shared" si="0"/>
        <v>0.52000000000000024</v>
      </c>
      <c r="C51" s="42">
        <f t="shared" si="2"/>
        <v>3.5905792558851221E-3</v>
      </c>
    </row>
    <row r="52" spans="1:250" hidden="1">
      <c r="A52" s="44"/>
      <c r="B52" s="43">
        <f t="shared" si="0"/>
        <v>0.53000000000000025</v>
      </c>
      <c r="C52" s="42">
        <f t="shared" si="2"/>
        <v>3.9509506093460623E-3</v>
      </c>
    </row>
    <row r="53" spans="1:250" hidden="1">
      <c r="A53" s="44"/>
      <c r="B53" s="43">
        <f t="shared" si="0"/>
        <v>0.54000000000000026</v>
      </c>
      <c r="C53" s="42">
        <f t="shared" si="2"/>
        <v>4.3113219628070016E-3</v>
      </c>
    </row>
    <row r="54" spans="1:250" hidden="1">
      <c r="A54" s="44"/>
      <c r="B54" s="43">
        <f t="shared" si="0"/>
        <v>0.55000000000000027</v>
      </c>
      <c r="C54" s="42">
        <f t="shared" si="2"/>
        <v>4.6716933162679417E-3</v>
      </c>
    </row>
    <row r="55" spans="1:250" hidden="1">
      <c r="A55" s="44"/>
      <c r="B55" s="43">
        <f t="shared" si="0"/>
        <v>0.56000000000000028</v>
      </c>
      <c r="C55" s="42">
        <f t="shared" si="2"/>
        <v>5.032064669728881E-3</v>
      </c>
    </row>
    <row r="56" spans="1:250" hidden="1">
      <c r="A56" s="44"/>
      <c r="B56" s="43">
        <f t="shared" si="0"/>
        <v>0.57000000000000028</v>
      </c>
      <c r="C56" s="42">
        <f t="shared" si="2"/>
        <v>5.3924360231898212E-3</v>
      </c>
    </row>
    <row r="57" spans="1:250" hidden="1">
      <c r="A57" s="44"/>
      <c r="B57" s="43">
        <f t="shared" si="0"/>
        <v>0.58000000000000029</v>
      </c>
      <c r="C57" s="42">
        <f t="shared" si="2"/>
        <v>5.7528073766507613E-3</v>
      </c>
    </row>
    <row r="58" spans="1:250" hidden="1">
      <c r="A58" s="44"/>
      <c r="B58" s="43">
        <f t="shared" si="0"/>
        <v>0.5900000000000003</v>
      </c>
      <c r="C58" s="42">
        <f t="shared" si="2"/>
        <v>6.1131787301117006E-3</v>
      </c>
    </row>
    <row r="59" spans="1:250">
      <c r="A59" s="44"/>
      <c r="B59" s="43">
        <f t="shared" si="0"/>
        <v>0.60000000000000031</v>
      </c>
      <c r="C59" s="42">
        <f t="shared" si="2"/>
        <v>6.4735500835726408E-3</v>
      </c>
    </row>
    <row r="60" spans="1:250">
      <c r="A60" s="44"/>
      <c r="B60" s="43">
        <f t="shared" si="0"/>
        <v>0.61000000000000032</v>
      </c>
      <c r="C60" s="42">
        <f t="shared" si="2"/>
        <v>6.8339214370335809E-3</v>
      </c>
    </row>
    <row r="61" spans="1:250">
      <c r="A61" s="44"/>
      <c r="B61" s="43">
        <f t="shared" si="0"/>
        <v>0.62000000000000033</v>
      </c>
      <c r="C61" s="42">
        <f t="shared" si="2"/>
        <v>7.1942927904945202E-3</v>
      </c>
    </row>
    <row r="62" spans="1:250">
      <c r="A62" s="44"/>
      <c r="B62" s="43">
        <f t="shared" si="0"/>
        <v>0.63000000000000034</v>
      </c>
      <c r="C62" s="42">
        <f t="shared" si="2"/>
        <v>7.5546641439554595E-3</v>
      </c>
    </row>
    <row r="63" spans="1:250">
      <c r="A63" s="44"/>
      <c r="B63" s="43">
        <f t="shared" si="0"/>
        <v>0.64000000000000035</v>
      </c>
      <c r="C63" s="42">
        <f>C64- ((B63-B64)*(C64/(C67-B64)))</f>
        <v>7.9150354974164006E-3</v>
      </c>
    </row>
    <row r="64" spans="1:250" s="36" customFormat="1" ht="28.8">
      <c r="A64" s="41" t="s">
        <v>126</v>
      </c>
      <c r="B64" s="40">
        <f>'4.QBR Modeling Results'!D45</f>
        <v>0.69785600000000003</v>
      </c>
      <c r="C64" s="39">
        <v>0.01</v>
      </c>
      <c r="IO64" s="11"/>
      <c r="IP64" s="11"/>
    </row>
    <row r="65" spans="1:250">
      <c r="C65" s="37"/>
    </row>
    <row r="66" spans="1:250" s="36" customFormat="1">
      <c r="A66" s="351" t="s">
        <v>125</v>
      </c>
      <c r="B66" s="352"/>
      <c r="C66" s="38">
        <f>'4.QBR Modeling Results'!H55</f>
        <v>0.42036446511627917</v>
      </c>
      <c r="IO66" s="11"/>
      <c r="IP66" s="11"/>
    </row>
    <row r="67" spans="1:250" s="36" customFormat="1">
      <c r="A67" s="353" t="s">
        <v>122</v>
      </c>
      <c r="B67" s="353"/>
      <c r="C67" s="38">
        <f>C66</f>
        <v>0.42036446511627917</v>
      </c>
      <c r="IO67" s="11"/>
    </row>
    <row r="68" spans="1:250" s="36" customFormat="1">
      <c r="A68" s="354"/>
      <c r="B68" s="354"/>
      <c r="IO68" s="11"/>
    </row>
  </sheetData>
  <mergeCells count="4">
    <mergeCell ref="A2:B2"/>
    <mergeCell ref="A3:B3"/>
    <mergeCell ref="A66:B66"/>
    <mergeCell ref="A67:B68"/>
  </mergeCells>
  <pageMargins left="0.7" right="0.7" top="0.75" bottom="0.75" header="0.3" footer="0.3"/>
  <pageSetup orientation="portrait" r:id="rId1"/>
  <headerFooter>
    <oddFooter>&amp;CHSCRC Work Group Meeting
Feb 2, 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tabSelected="1" topLeftCell="A28" zoomScaleNormal="100" workbookViewId="0">
      <selection activeCell="E15" sqref="E15"/>
    </sheetView>
  </sheetViews>
  <sheetFormatPr defaultRowHeight="15.6"/>
  <cols>
    <col min="1" max="1" width="12.44140625" style="82" customWidth="1"/>
    <col min="2" max="2" width="33.6640625" style="82" customWidth="1"/>
    <col min="3" max="3" width="25.33203125" style="82" customWidth="1"/>
    <col min="4" max="4" width="20" style="82" customWidth="1"/>
    <col min="5" max="5" width="15" style="299" customWidth="1"/>
    <col min="6" max="6" width="17.5546875" style="82" customWidth="1"/>
    <col min="7" max="7" width="24" style="82" customWidth="1"/>
    <col min="8" max="8" width="21.109375" style="94" customWidth="1"/>
    <col min="9" max="9" width="17.44140625" style="94" customWidth="1"/>
    <col min="10" max="253" width="8.88671875" style="94"/>
    <col min="254" max="254" width="20.6640625" style="94" customWidth="1"/>
    <col min="255" max="255" width="48.44140625" style="94" customWidth="1"/>
    <col min="256" max="256" width="25.33203125" style="94" customWidth="1"/>
    <col min="257" max="257" width="20" style="94" customWidth="1"/>
    <col min="258" max="258" width="15" style="94" customWidth="1"/>
    <col min="259" max="259" width="17.5546875" style="94" customWidth="1"/>
    <col min="260" max="260" width="24" style="94" customWidth="1"/>
    <col min="261" max="261" width="25.33203125" style="94" customWidth="1"/>
    <col min="262" max="262" width="18.88671875" style="94" customWidth="1"/>
    <col min="263" max="509" width="8.88671875" style="94"/>
    <col min="510" max="510" width="20.6640625" style="94" customWidth="1"/>
    <col min="511" max="511" width="48.44140625" style="94" customWidth="1"/>
    <col min="512" max="512" width="25.33203125" style="94" customWidth="1"/>
    <col min="513" max="513" width="20" style="94" customWidth="1"/>
    <col min="514" max="514" width="15" style="94" customWidth="1"/>
    <col min="515" max="515" width="17.5546875" style="94" customWidth="1"/>
    <col min="516" max="516" width="24" style="94" customWidth="1"/>
    <col min="517" max="517" width="25.33203125" style="94" customWidth="1"/>
    <col min="518" max="518" width="18.88671875" style="94" customWidth="1"/>
    <col min="519" max="765" width="8.88671875" style="94"/>
    <col min="766" max="766" width="20.6640625" style="94" customWidth="1"/>
    <col min="767" max="767" width="48.44140625" style="94" customWidth="1"/>
    <col min="768" max="768" width="25.33203125" style="94" customWidth="1"/>
    <col min="769" max="769" width="20" style="94" customWidth="1"/>
    <col min="770" max="770" width="15" style="94" customWidth="1"/>
    <col min="771" max="771" width="17.5546875" style="94" customWidth="1"/>
    <col min="772" max="772" width="24" style="94" customWidth="1"/>
    <col min="773" max="773" width="25.33203125" style="94" customWidth="1"/>
    <col min="774" max="774" width="18.88671875" style="94" customWidth="1"/>
    <col min="775" max="1021" width="8.88671875" style="94"/>
    <col min="1022" max="1022" width="20.6640625" style="94" customWidth="1"/>
    <col min="1023" max="1023" width="48.44140625" style="94" customWidth="1"/>
    <col min="1024" max="1024" width="25.33203125" style="94" customWidth="1"/>
    <col min="1025" max="1025" width="20" style="94" customWidth="1"/>
    <col min="1026" max="1026" width="15" style="94" customWidth="1"/>
    <col min="1027" max="1027" width="17.5546875" style="94" customWidth="1"/>
    <col min="1028" max="1028" width="24" style="94" customWidth="1"/>
    <col min="1029" max="1029" width="25.33203125" style="94" customWidth="1"/>
    <col min="1030" max="1030" width="18.88671875" style="94" customWidth="1"/>
    <col min="1031" max="1277" width="8.88671875" style="94"/>
    <col min="1278" max="1278" width="20.6640625" style="94" customWidth="1"/>
    <col min="1279" max="1279" width="48.44140625" style="94" customWidth="1"/>
    <col min="1280" max="1280" width="25.33203125" style="94" customWidth="1"/>
    <col min="1281" max="1281" width="20" style="94" customWidth="1"/>
    <col min="1282" max="1282" width="15" style="94" customWidth="1"/>
    <col min="1283" max="1283" width="17.5546875" style="94" customWidth="1"/>
    <col min="1284" max="1284" width="24" style="94" customWidth="1"/>
    <col min="1285" max="1285" width="25.33203125" style="94" customWidth="1"/>
    <col min="1286" max="1286" width="18.88671875" style="94" customWidth="1"/>
    <col min="1287" max="1533" width="8.88671875" style="94"/>
    <col min="1534" max="1534" width="20.6640625" style="94" customWidth="1"/>
    <col min="1535" max="1535" width="48.44140625" style="94" customWidth="1"/>
    <col min="1536" max="1536" width="25.33203125" style="94" customWidth="1"/>
    <col min="1537" max="1537" width="20" style="94" customWidth="1"/>
    <col min="1538" max="1538" width="15" style="94" customWidth="1"/>
    <col min="1539" max="1539" width="17.5546875" style="94" customWidth="1"/>
    <col min="1540" max="1540" width="24" style="94" customWidth="1"/>
    <col min="1541" max="1541" width="25.33203125" style="94" customWidth="1"/>
    <col min="1542" max="1542" width="18.88671875" style="94" customWidth="1"/>
    <col min="1543" max="1789" width="8.88671875" style="94"/>
    <col min="1790" max="1790" width="20.6640625" style="94" customWidth="1"/>
    <col min="1791" max="1791" width="48.44140625" style="94" customWidth="1"/>
    <col min="1792" max="1792" width="25.33203125" style="94" customWidth="1"/>
    <col min="1793" max="1793" width="20" style="94" customWidth="1"/>
    <col min="1794" max="1794" width="15" style="94" customWidth="1"/>
    <col min="1795" max="1795" width="17.5546875" style="94" customWidth="1"/>
    <col min="1796" max="1796" width="24" style="94" customWidth="1"/>
    <col min="1797" max="1797" width="25.33203125" style="94" customWidth="1"/>
    <col min="1798" max="1798" width="18.88671875" style="94" customWidth="1"/>
    <col min="1799" max="2045" width="8.88671875" style="94"/>
    <col min="2046" max="2046" width="20.6640625" style="94" customWidth="1"/>
    <col min="2047" max="2047" width="48.44140625" style="94" customWidth="1"/>
    <col min="2048" max="2048" width="25.33203125" style="94" customWidth="1"/>
    <col min="2049" max="2049" width="20" style="94" customWidth="1"/>
    <col min="2050" max="2050" width="15" style="94" customWidth="1"/>
    <col min="2051" max="2051" width="17.5546875" style="94" customWidth="1"/>
    <col min="2052" max="2052" width="24" style="94" customWidth="1"/>
    <col min="2053" max="2053" width="25.33203125" style="94" customWidth="1"/>
    <col min="2054" max="2054" width="18.88671875" style="94" customWidth="1"/>
    <col min="2055" max="2301" width="8.88671875" style="94"/>
    <col min="2302" max="2302" width="20.6640625" style="94" customWidth="1"/>
    <col min="2303" max="2303" width="48.44140625" style="94" customWidth="1"/>
    <col min="2304" max="2304" width="25.33203125" style="94" customWidth="1"/>
    <col min="2305" max="2305" width="20" style="94" customWidth="1"/>
    <col min="2306" max="2306" width="15" style="94" customWidth="1"/>
    <col min="2307" max="2307" width="17.5546875" style="94" customWidth="1"/>
    <col min="2308" max="2308" width="24" style="94" customWidth="1"/>
    <col min="2309" max="2309" width="25.33203125" style="94" customWidth="1"/>
    <col min="2310" max="2310" width="18.88671875" style="94" customWidth="1"/>
    <col min="2311" max="2557" width="8.88671875" style="94"/>
    <col min="2558" max="2558" width="20.6640625" style="94" customWidth="1"/>
    <col min="2559" max="2559" width="48.44140625" style="94" customWidth="1"/>
    <col min="2560" max="2560" width="25.33203125" style="94" customWidth="1"/>
    <col min="2561" max="2561" width="20" style="94" customWidth="1"/>
    <col min="2562" max="2562" width="15" style="94" customWidth="1"/>
    <col min="2563" max="2563" width="17.5546875" style="94" customWidth="1"/>
    <col min="2564" max="2564" width="24" style="94" customWidth="1"/>
    <col min="2565" max="2565" width="25.33203125" style="94" customWidth="1"/>
    <col min="2566" max="2566" width="18.88671875" style="94" customWidth="1"/>
    <col min="2567" max="2813" width="8.88671875" style="94"/>
    <col min="2814" max="2814" width="20.6640625" style="94" customWidth="1"/>
    <col min="2815" max="2815" width="48.44140625" style="94" customWidth="1"/>
    <col min="2816" max="2816" width="25.33203125" style="94" customWidth="1"/>
    <col min="2817" max="2817" width="20" style="94" customWidth="1"/>
    <col min="2818" max="2818" width="15" style="94" customWidth="1"/>
    <col min="2819" max="2819" width="17.5546875" style="94" customWidth="1"/>
    <col min="2820" max="2820" width="24" style="94" customWidth="1"/>
    <col min="2821" max="2821" width="25.33203125" style="94" customWidth="1"/>
    <col min="2822" max="2822" width="18.88671875" style="94" customWidth="1"/>
    <col min="2823" max="3069" width="8.88671875" style="94"/>
    <col min="3070" max="3070" width="20.6640625" style="94" customWidth="1"/>
    <col min="3071" max="3071" width="48.44140625" style="94" customWidth="1"/>
    <col min="3072" max="3072" width="25.33203125" style="94" customWidth="1"/>
    <col min="3073" max="3073" width="20" style="94" customWidth="1"/>
    <col min="3074" max="3074" width="15" style="94" customWidth="1"/>
    <col min="3075" max="3075" width="17.5546875" style="94" customWidth="1"/>
    <col min="3076" max="3076" width="24" style="94" customWidth="1"/>
    <col min="3077" max="3077" width="25.33203125" style="94" customWidth="1"/>
    <col min="3078" max="3078" width="18.88671875" style="94" customWidth="1"/>
    <col min="3079" max="3325" width="8.88671875" style="94"/>
    <col min="3326" max="3326" width="20.6640625" style="94" customWidth="1"/>
    <col min="3327" max="3327" width="48.44140625" style="94" customWidth="1"/>
    <col min="3328" max="3328" width="25.33203125" style="94" customWidth="1"/>
    <col min="3329" max="3329" width="20" style="94" customWidth="1"/>
    <col min="3330" max="3330" width="15" style="94" customWidth="1"/>
    <col min="3331" max="3331" width="17.5546875" style="94" customWidth="1"/>
    <col min="3332" max="3332" width="24" style="94" customWidth="1"/>
    <col min="3333" max="3333" width="25.33203125" style="94" customWidth="1"/>
    <col min="3334" max="3334" width="18.88671875" style="94" customWidth="1"/>
    <col min="3335" max="3581" width="8.88671875" style="94"/>
    <col min="3582" max="3582" width="20.6640625" style="94" customWidth="1"/>
    <col min="3583" max="3583" width="48.44140625" style="94" customWidth="1"/>
    <col min="3584" max="3584" width="25.33203125" style="94" customWidth="1"/>
    <col min="3585" max="3585" width="20" style="94" customWidth="1"/>
    <col min="3586" max="3586" width="15" style="94" customWidth="1"/>
    <col min="3587" max="3587" width="17.5546875" style="94" customWidth="1"/>
    <col min="3588" max="3588" width="24" style="94" customWidth="1"/>
    <col min="3589" max="3589" width="25.33203125" style="94" customWidth="1"/>
    <col min="3590" max="3590" width="18.88671875" style="94" customWidth="1"/>
    <col min="3591" max="3837" width="8.88671875" style="94"/>
    <col min="3838" max="3838" width="20.6640625" style="94" customWidth="1"/>
    <col min="3839" max="3839" width="48.44140625" style="94" customWidth="1"/>
    <col min="3840" max="3840" width="25.33203125" style="94" customWidth="1"/>
    <col min="3841" max="3841" width="20" style="94" customWidth="1"/>
    <col min="3842" max="3842" width="15" style="94" customWidth="1"/>
    <col min="3843" max="3843" width="17.5546875" style="94" customWidth="1"/>
    <col min="3844" max="3844" width="24" style="94" customWidth="1"/>
    <col min="3845" max="3845" width="25.33203125" style="94" customWidth="1"/>
    <col min="3846" max="3846" width="18.88671875" style="94" customWidth="1"/>
    <col min="3847" max="4093" width="8.88671875" style="94"/>
    <col min="4094" max="4094" width="20.6640625" style="94" customWidth="1"/>
    <col min="4095" max="4095" width="48.44140625" style="94" customWidth="1"/>
    <col min="4096" max="4096" width="25.33203125" style="94" customWidth="1"/>
    <col min="4097" max="4097" width="20" style="94" customWidth="1"/>
    <col min="4098" max="4098" width="15" style="94" customWidth="1"/>
    <col min="4099" max="4099" width="17.5546875" style="94" customWidth="1"/>
    <col min="4100" max="4100" width="24" style="94" customWidth="1"/>
    <col min="4101" max="4101" width="25.33203125" style="94" customWidth="1"/>
    <col min="4102" max="4102" width="18.88671875" style="94" customWidth="1"/>
    <col min="4103" max="4349" width="8.88671875" style="94"/>
    <col min="4350" max="4350" width="20.6640625" style="94" customWidth="1"/>
    <col min="4351" max="4351" width="48.44140625" style="94" customWidth="1"/>
    <col min="4352" max="4352" width="25.33203125" style="94" customWidth="1"/>
    <col min="4353" max="4353" width="20" style="94" customWidth="1"/>
    <col min="4354" max="4354" width="15" style="94" customWidth="1"/>
    <col min="4355" max="4355" width="17.5546875" style="94" customWidth="1"/>
    <col min="4356" max="4356" width="24" style="94" customWidth="1"/>
    <col min="4357" max="4357" width="25.33203125" style="94" customWidth="1"/>
    <col min="4358" max="4358" width="18.88671875" style="94" customWidth="1"/>
    <col min="4359" max="4605" width="8.88671875" style="94"/>
    <col min="4606" max="4606" width="20.6640625" style="94" customWidth="1"/>
    <col min="4607" max="4607" width="48.44140625" style="94" customWidth="1"/>
    <col min="4608" max="4608" width="25.33203125" style="94" customWidth="1"/>
    <col min="4609" max="4609" width="20" style="94" customWidth="1"/>
    <col min="4610" max="4610" width="15" style="94" customWidth="1"/>
    <col min="4611" max="4611" width="17.5546875" style="94" customWidth="1"/>
    <col min="4612" max="4612" width="24" style="94" customWidth="1"/>
    <col min="4613" max="4613" width="25.33203125" style="94" customWidth="1"/>
    <col min="4614" max="4614" width="18.88671875" style="94" customWidth="1"/>
    <col min="4615" max="4861" width="8.88671875" style="94"/>
    <col min="4862" max="4862" width="20.6640625" style="94" customWidth="1"/>
    <col min="4863" max="4863" width="48.44140625" style="94" customWidth="1"/>
    <col min="4864" max="4864" width="25.33203125" style="94" customWidth="1"/>
    <col min="4865" max="4865" width="20" style="94" customWidth="1"/>
    <col min="4866" max="4866" width="15" style="94" customWidth="1"/>
    <col min="4867" max="4867" width="17.5546875" style="94" customWidth="1"/>
    <col min="4868" max="4868" width="24" style="94" customWidth="1"/>
    <col min="4869" max="4869" width="25.33203125" style="94" customWidth="1"/>
    <col min="4870" max="4870" width="18.88671875" style="94" customWidth="1"/>
    <col min="4871" max="5117" width="8.88671875" style="94"/>
    <col min="5118" max="5118" width="20.6640625" style="94" customWidth="1"/>
    <col min="5119" max="5119" width="48.44140625" style="94" customWidth="1"/>
    <col min="5120" max="5120" width="25.33203125" style="94" customWidth="1"/>
    <col min="5121" max="5121" width="20" style="94" customWidth="1"/>
    <col min="5122" max="5122" width="15" style="94" customWidth="1"/>
    <col min="5123" max="5123" width="17.5546875" style="94" customWidth="1"/>
    <col min="5124" max="5124" width="24" style="94" customWidth="1"/>
    <col min="5125" max="5125" width="25.33203125" style="94" customWidth="1"/>
    <col min="5126" max="5126" width="18.88671875" style="94" customWidth="1"/>
    <col min="5127" max="5373" width="8.88671875" style="94"/>
    <col min="5374" max="5374" width="20.6640625" style="94" customWidth="1"/>
    <col min="5375" max="5375" width="48.44140625" style="94" customWidth="1"/>
    <col min="5376" max="5376" width="25.33203125" style="94" customWidth="1"/>
    <col min="5377" max="5377" width="20" style="94" customWidth="1"/>
    <col min="5378" max="5378" width="15" style="94" customWidth="1"/>
    <col min="5379" max="5379" width="17.5546875" style="94" customWidth="1"/>
    <col min="5380" max="5380" width="24" style="94" customWidth="1"/>
    <col min="5381" max="5381" width="25.33203125" style="94" customWidth="1"/>
    <col min="5382" max="5382" width="18.88671875" style="94" customWidth="1"/>
    <col min="5383" max="5629" width="8.88671875" style="94"/>
    <col min="5630" max="5630" width="20.6640625" style="94" customWidth="1"/>
    <col min="5631" max="5631" width="48.44140625" style="94" customWidth="1"/>
    <col min="5632" max="5632" width="25.33203125" style="94" customWidth="1"/>
    <col min="5633" max="5633" width="20" style="94" customWidth="1"/>
    <col min="5634" max="5634" width="15" style="94" customWidth="1"/>
    <col min="5635" max="5635" width="17.5546875" style="94" customWidth="1"/>
    <col min="5636" max="5636" width="24" style="94" customWidth="1"/>
    <col min="5637" max="5637" width="25.33203125" style="94" customWidth="1"/>
    <col min="5638" max="5638" width="18.88671875" style="94" customWidth="1"/>
    <col min="5639" max="5885" width="8.88671875" style="94"/>
    <col min="5886" max="5886" width="20.6640625" style="94" customWidth="1"/>
    <col min="5887" max="5887" width="48.44140625" style="94" customWidth="1"/>
    <col min="5888" max="5888" width="25.33203125" style="94" customWidth="1"/>
    <col min="5889" max="5889" width="20" style="94" customWidth="1"/>
    <col min="5890" max="5890" width="15" style="94" customWidth="1"/>
    <col min="5891" max="5891" width="17.5546875" style="94" customWidth="1"/>
    <col min="5892" max="5892" width="24" style="94" customWidth="1"/>
    <col min="5893" max="5893" width="25.33203125" style="94" customWidth="1"/>
    <col min="5894" max="5894" width="18.88671875" style="94" customWidth="1"/>
    <col min="5895" max="6141" width="8.88671875" style="94"/>
    <col min="6142" max="6142" width="20.6640625" style="94" customWidth="1"/>
    <col min="6143" max="6143" width="48.44140625" style="94" customWidth="1"/>
    <col min="6144" max="6144" width="25.33203125" style="94" customWidth="1"/>
    <col min="6145" max="6145" width="20" style="94" customWidth="1"/>
    <col min="6146" max="6146" width="15" style="94" customWidth="1"/>
    <col min="6147" max="6147" width="17.5546875" style="94" customWidth="1"/>
    <col min="6148" max="6148" width="24" style="94" customWidth="1"/>
    <col min="6149" max="6149" width="25.33203125" style="94" customWidth="1"/>
    <col min="6150" max="6150" width="18.88671875" style="94" customWidth="1"/>
    <col min="6151" max="6397" width="8.88671875" style="94"/>
    <col min="6398" max="6398" width="20.6640625" style="94" customWidth="1"/>
    <col min="6399" max="6399" width="48.44140625" style="94" customWidth="1"/>
    <col min="6400" max="6400" width="25.33203125" style="94" customWidth="1"/>
    <col min="6401" max="6401" width="20" style="94" customWidth="1"/>
    <col min="6402" max="6402" width="15" style="94" customWidth="1"/>
    <col min="6403" max="6403" width="17.5546875" style="94" customWidth="1"/>
    <col min="6404" max="6404" width="24" style="94" customWidth="1"/>
    <col min="6405" max="6405" width="25.33203125" style="94" customWidth="1"/>
    <col min="6406" max="6406" width="18.88671875" style="94" customWidth="1"/>
    <col min="6407" max="6653" width="8.88671875" style="94"/>
    <col min="6654" max="6654" width="20.6640625" style="94" customWidth="1"/>
    <col min="6655" max="6655" width="48.44140625" style="94" customWidth="1"/>
    <col min="6656" max="6656" width="25.33203125" style="94" customWidth="1"/>
    <col min="6657" max="6657" width="20" style="94" customWidth="1"/>
    <col min="6658" max="6658" width="15" style="94" customWidth="1"/>
    <col min="6659" max="6659" width="17.5546875" style="94" customWidth="1"/>
    <col min="6660" max="6660" width="24" style="94" customWidth="1"/>
    <col min="6661" max="6661" width="25.33203125" style="94" customWidth="1"/>
    <col min="6662" max="6662" width="18.88671875" style="94" customWidth="1"/>
    <col min="6663" max="6909" width="8.88671875" style="94"/>
    <col min="6910" max="6910" width="20.6640625" style="94" customWidth="1"/>
    <col min="6911" max="6911" width="48.44140625" style="94" customWidth="1"/>
    <col min="6912" max="6912" width="25.33203125" style="94" customWidth="1"/>
    <col min="6913" max="6913" width="20" style="94" customWidth="1"/>
    <col min="6914" max="6914" width="15" style="94" customWidth="1"/>
    <col min="6915" max="6915" width="17.5546875" style="94" customWidth="1"/>
    <col min="6916" max="6916" width="24" style="94" customWidth="1"/>
    <col min="6917" max="6917" width="25.33203125" style="94" customWidth="1"/>
    <col min="6918" max="6918" width="18.88671875" style="94" customWidth="1"/>
    <col min="6919" max="7165" width="8.88671875" style="94"/>
    <col min="7166" max="7166" width="20.6640625" style="94" customWidth="1"/>
    <col min="7167" max="7167" width="48.44140625" style="94" customWidth="1"/>
    <col min="7168" max="7168" width="25.33203125" style="94" customWidth="1"/>
    <col min="7169" max="7169" width="20" style="94" customWidth="1"/>
    <col min="7170" max="7170" width="15" style="94" customWidth="1"/>
    <col min="7171" max="7171" width="17.5546875" style="94" customWidth="1"/>
    <col min="7172" max="7172" width="24" style="94" customWidth="1"/>
    <col min="7173" max="7173" width="25.33203125" style="94" customWidth="1"/>
    <col min="7174" max="7174" width="18.88671875" style="94" customWidth="1"/>
    <col min="7175" max="7421" width="8.88671875" style="94"/>
    <col min="7422" max="7422" width="20.6640625" style="94" customWidth="1"/>
    <col min="7423" max="7423" width="48.44140625" style="94" customWidth="1"/>
    <col min="7424" max="7424" width="25.33203125" style="94" customWidth="1"/>
    <col min="7425" max="7425" width="20" style="94" customWidth="1"/>
    <col min="7426" max="7426" width="15" style="94" customWidth="1"/>
    <col min="7427" max="7427" width="17.5546875" style="94" customWidth="1"/>
    <col min="7428" max="7428" width="24" style="94" customWidth="1"/>
    <col min="7429" max="7429" width="25.33203125" style="94" customWidth="1"/>
    <col min="7430" max="7430" width="18.88671875" style="94" customWidth="1"/>
    <col min="7431" max="7677" width="8.88671875" style="94"/>
    <col min="7678" max="7678" width="20.6640625" style="94" customWidth="1"/>
    <col min="7679" max="7679" width="48.44140625" style="94" customWidth="1"/>
    <col min="7680" max="7680" width="25.33203125" style="94" customWidth="1"/>
    <col min="7681" max="7681" width="20" style="94" customWidth="1"/>
    <col min="7682" max="7682" width="15" style="94" customWidth="1"/>
    <col min="7683" max="7683" width="17.5546875" style="94" customWidth="1"/>
    <col min="7684" max="7684" width="24" style="94" customWidth="1"/>
    <col min="7685" max="7685" width="25.33203125" style="94" customWidth="1"/>
    <col min="7686" max="7686" width="18.88671875" style="94" customWidth="1"/>
    <col min="7687" max="7933" width="8.88671875" style="94"/>
    <col min="7934" max="7934" width="20.6640625" style="94" customWidth="1"/>
    <col min="7935" max="7935" width="48.44140625" style="94" customWidth="1"/>
    <col min="7936" max="7936" width="25.33203125" style="94" customWidth="1"/>
    <col min="7937" max="7937" width="20" style="94" customWidth="1"/>
    <col min="7938" max="7938" width="15" style="94" customWidth="1"/>
    <col min="7939" max="7939" width="17.5546875" style="94" customWidth="1"/>
    <col min="7940" max="7940" width="24" style="94" customWidth="1"/>
    <col min="7941" max="7941" width="25.33203125" style="94" customWidth="1"/>
    <col min="7942" max="7942" width="18.88671875" style="94" customWidth="1"/>
    <col min="7943" max="8189" width="8.88671875" style="94"/>
    <col min="8190" max="8190" width="20.6640625" style="94" customWidth="1"/>
    <col min="8191" max="8191" width="48.44140625" style="94" customWidth="1"/>
    <col min="8192" max="8192" width="25.33203125" style="94" customWidth="1"/>
    <col min="8193" max="8193" width="20" style="94" customWidth="1"/>
    <col min="8194" max="8194" width="15" style="94" customWidth="1"/>
    <col min="8195" max="8195" width="17.5546875" style="94" customWidth="1"/>
    <col min="8196" max="8196" width="24" style="94" customWidth="1"/>
    <col min="8197" max="8197" width="25.33203125" style="94" customWidth="1"/>
    <col min="8198" max="8198" width="18.88671875" style="94" customWidth="1"/>
    <col min="8199" max="8445" width="8.88671875" style="94"/>
    <col min="8446" max="8446" width="20.6640625" style="94" customWidth="1"/>
    <col min="8447" max="8447" width="48.44140625" style="94" customWidth="1"/>
    <col min="8448" max="8448" width="25.33203125" style="94" customWidth="1"/>
    <col min="8449" max="8449" width="20" style="94" customWidth="1"/>
    <col min="8450" max="8450" width="15" style="94" customWidth="1"/>
    <col min="8451" max="8451" width="17.5546875" style="94" customWidth="1"/>
    <col min="8452" max="8452" width="24" style="94" customWidth="1"/>
    <col min="8453" max="8453" width="25.33203125" style="94" customWidth="1"/>
    <col min="8454" max="8454" width="18.88671875" style="94" customWidth="1"/>
    <col min="8455" max="8701" width="8.88671875" style="94"/>
    <col min="8702" max="8702" width="20.6640625" style="94" customWidth="1"/>
    <col min="8703" max="8703" width="48.44140625" style="94" customWidth="1"/>
    <col min="8704" max="8704" width="25.33203125" style="94" customWidth="1"/>
    <col min="8705" max="8705" width="20" style="94" customWidth="1"/>
    <col min="8706" max="8706" width="15" style="94" customWidth="1"/>
    <col min="8707" max="8707" width="17.5546875" style="94" customWidth="1"/>
    <col min="8708" max="8708" width="24" style="94" customWidth="1"/>
    <col min="8709" max="8709" width="25.33203125" style="94" customWidth="1"/>
    <col min="8710" max="8710" width="18.88671875" style="94" customWidth="1"/>
    <col min="8711" max="8957" width="8.88671875" style="94"/>
    <col min="8958" max="8958" width="20.6640625" style="94" customWidth="1"/>
    <col min="8959" max="8959" width="48.44140625" style="94" customWidth="1"/>
    <col min="8960" max="8960" width="25.33203125" style="94" customWidth="1"/>
    <col min="8961" max="8961" width="20" style="94" customWidth="1"/>
    <col min="8962" max="8962" width="15" style="94" customWidth="1"/>
    <col min="8963" max="8963" width="17.5546875" style="94" customWidth="1"/>
    <col min="8964" max="8964" width="24" style="94" customWidth="1"/>
    <col min="8965" max="8965" width="25.33203125" style="94" customWidth="1"/>
    <col min="8966" max="8966" width="18.88671875" style="94" customWidth="1"/>
    <col min="8967" max="9213" width="8.88671875" style="94"/>
    <col min="9214" max="9214" width="20.6640625" style="94" customWidth="1"/>
    <col min="9215" max="9215" width="48.44140625" style="94" customWidth="1"/>
    <col min="9216" max="9216" width="25.33203125" style="94" customWidth="1"/>
    <col min="9217" max="9217" width="20" style="94" customWidth="1"/>
    <col min="9218" max="9218" width="15" style="94" customWidth="1"/>
    <col min="9219" max="9219" width="17.5546875" style="94" customWidth="1"/>
    <col min="9220" max="9220" width="24" style="94" customWidth="1"/>
    <col min="9221" max="9221" width="25.33203125" style="94" customWidth="1"/>
    <col min="9222" max="9222" width="18.88671875" style="94" customWidth="1"/>
    <col min="9223" max="9469" width="8.88671875" style="94"/>
    <col min="9470" max="9470" width="20.6640625" style="94" customWidth="1"/>
    <col min="9471" max="9471" width="48.44140625" style="94" customWidth="1"/>
    <col min="9472" max="9472" width="25.33203125" style="94" customWidth="1"/>
    <col min="9473" max="9473" width="20" style="94" customWidth="1"/>
    <col min="9474" max="9474" width="15" style="94" customWidth="1"/>
    <col min="9475" max="9475" width="17.5546875" style="94" customWidth="1"/>
    <col min="9476" max="9476" width="24" style="94" customWidth="1"/>
    <col min="9477" max="9477" width="25.33203125" style="94" customWidth="1"/>
    <col min="9478" max="9478" width="18.88671875" style="94" customWidth="1"/>
    <col min="9479" max="9725" width="8.88671875" style="94"/>
    <col min="9726" max="9726" width="20.6640625" style="94" customWidth="1"/>
    <col min="9727" max="9727" width="48.44140625" style="94" customWidth="1"/>
    <col min="9728" max="9728" width="25.33203125" style="94" customWidth="1"/>
    <col min="9729" max="9729" width="20" style="94" customWidth="1"/>
    <col min="9730" max="9730" width="15" style="94" customWidth="1"/>
    <col min="9731" max="9731" width="17.5546875" style="94" customWidth="1"/>
    <col min="9732" max="9732" width="24" style="94" customWidth="1"/>
    <col min="9733" max="9733" width="25.33203125" style="94" customWidth="1"/>
    <col min="9734" max="9734" width="18.88671875" style="94" customWidth="1"/>
    <col min="9735" max="9981" width="8.88671875" style="94"/>
    <col min="9982" max="9982" width="20.6640625" style="94" customWidth="1"/>
    <col min="9983" max="9983" width="48.44140625" style="94" customWidth="1"/>
    <col min="9984" max="9984" width="25.33203125" style="94" customWidth="1"/>
    <col min="9985" max="9985" width="20" style="94" customWidth="1"/>
    <col min="9986" max="9986" width="15" style="94" customWidth="1"/>
    <col min="9987" max="9987" width="17.5546875" style="94" customWidth="1"/>
    <col min="9988" max="9988" width="24" style="94" customWidth="1"/>
    <col min="9989" max="9989" width="25.33203125" style="94" customWidth="1"/>
    <col min="9990" max="9990" width="18.88671875" style="94" customWidth="1"/>
    <col min="9991" max="10237" width="8.88671875" style="94"/>
    <col min="10238" max="10238" width="20.6640625" style="94" customWidth="1"/>
    <col min="10239" max="10239" width="48.44140625" style="94" customWidth="1"/>
    <col min="10240" max="10240" width="25.33203125" style="94" customWidth="1"/>
    <col min="10241" max="10241" width="20" style="94" customWidth="1"/>
    <col min="10242" max="10242" width="15" style="94" customWidth="1"/>
    <col min="10243" max="10243" width="17.5546875" style="94" customWidth="1"/>
    <col min="10244" max="10244" width="24" style="94" customWidth="1"/>
    <col min="10245" max="10245" width="25.33203125" style="94" customWidth="1"/>
    <col min="10246" max="10246" width="18.88671875" style="94" customWidth="1"/>
    <col min="10247" max="10493" width="8.88671875" style="94"/>
    <col min="10494" max="10494" width="20.6640625" style="94" customWidth="1"/>
    <col min="10495" max="10495" width="48.44140625" style="94" customWidth="1"/>
    <col min="10496" max="10496" width="25.33203125" style="94" customWidth="1"/>
    <col min="10497" max="10497" width="20" style="94" customWidth="1"/>
    <col min="10498" max="10498" width="15" style="94" customWidth="1"/>
    <col min="10499" max="10499" width="17.5546875" style="94" customWidth="1"/>
    <col min="10500" max="10500" width="24" style="94" customWidth="1"/>
    <col min="10501" max="10501" width="25.33203125" style="94" customWidth="1"/>
    <col min="10502" max="10502" width="18.88671875" style="94" customWidth="1"/>
    <col min="10503" max="10749" width="8.88671875" style="94"/>
    <col min="10750" max="10750" width="20.6640625" style="94" customWidth="1"/>
    <col min="10751" max="10751" width="48.44140625" style="94" customWidth="1"/>
    <col min="10752" max="10752" width="25.33203125" style="94" customWidth="1"/>
    <col min="10753" max="10753" width="20" style="94" customWidth="1"/>
    <col min="10754" max="10754" width="15" style="94" customWidth="1"/>
    <col min="10755" max="10755" width="17.5546875" style="94" customWidth="1"/>
    <col min="10756" max="10756" width="24" style="94" customWidth="1"/>
    <col min="10757" max="10757" width="25.33203125" style="94" customWidth="1"/>
    <col min="10758" max="10758" width="18.88671875" style="94" customWidth="1"/>
    <col min="10759" max="11005" width="8.88671875" style="94"/>
    <col min="11006" max="11006" width="20.6640625" style="94" customWidth="1"/>
    <col min="11007" max="11007" width="48.44140625" style="94" customWidth="1"/>
    <col min="11008" max="11008" width="25.33203125" style="94" customWidth="1"/>
    <col min="11009" max="11009" width="20" style="94" customWidth="1"/>
    <col min="11010" max="11010" width="15" style="94" customWidth="1"/>
    <col min="11011" max="11011" width="17.5546875" style="94" customWidth="1"/>
    <col min="11012" max="11012" width="24" style="94" customWidth="1"/>
    <col min="11013" max="11013" width="25.33203125" style="94" customWidth="1"/>
    <col min="11014" max="11014" width="18.88671875" style="94" customWidth="1"/>
    <col min="11015" max="11261" width="8.88671875" style="94"/>
    <col min="11262" max="11262" width="20.6640625" style="94" customWidth="1"/>
    <col min="11263" max="11263" width="48.44140625" style="94" customWidth="1"/>
    <col min="11264" max="11264" width="25.33203125" style="94" customWidth="1"/>
    <col min="11265" max="11265" width="20" style="94" customWidth="1"/>
    <col min="11266" max="11266" width="15" style="94" customWidth="1"/>
    <col min="11267" max="11267" width="17.5546875" style="94" customWidth="1"/>
    <col min="11268" max="11268" width="24" style="94" customWidth="1"/>
    <col min="11269" max="11269" width="25.33203125" style="94" customWidth="1"/>
    <col min="11270" max="11270" width="18.88671875" style="94" customWidth="1"/>
    <col min="11271" max="11517" width="8.88671875" style="94"/>
    <col min="11518" max="11518" width="20.6640625" style="94" customWidth="1"/>
    <col min="11519" max="11519" width="48.44140625" style="94" customWidth="1"/>
    <col min="11520" max="11520" width="25.33203125" style="94" customWidth="1"/>
    <col min="11521" max="11521" width="20" style="94" customWidth="1"/>
    <col min="11522" max="11522" width="15" style="94" customWidth="1"/>
    <col min="11523" max="11523" width="17.5546875" style="94" customWidth="1"/>
    <col min="11524" max="11524" width="24" style="94" customWidth="1"/>
    <col min="11525" max="11525" width="25.33203125" style="94" customWidth="1"/>
    <col min="11526" max="11526" width="18.88671875" style="94" customWidth="1"/>
    <col min="11527" max="11773" width="8.88671875" style="94"/>
    <col min="11774" max="11774" width="20.6640625" style="94" customWidth="1"/>
    <col min="11775" max="11775" width="48.44140625" style="94" customWidth="1"/>
    <col min="11776" max="11776" width="25.33203125" style="94" customWidth="1"/>
    <col min="11777" max="11777" width="20" style="94" customWidth="1"/>
    <col min="11778" max="11778" width="15" style="94" customWidth="1"/>
    <col min="11779" max="11779" width="17.5546875" style="94" customWidth="1"/>
    <col min="11780" max="11780" width="24" style="94" customWidth="1"/>
    <col min="11781" max="11781" width="25.33203125" style="94" customWidth="1"/>
    <col min="11782" max="11782" width="18.88671875" style="94" customWidth="1"/>
    <col min="11783" max="12029" width="8.88671875" style="94"/>
    <col min="12030" max="12030" width="20.6640625" style="94" customWidth="1"/>
    <col min="12031" max="12031" width="48.44140625" style="94" customWidth="1"/>
    <col min="12032" max="12032" width="25.33203125" style="94" customWidth="1"/>
    <col min="12033" max="12033" width="20" style="94" customWidth="1"/>
    <col min="12034" max="12034" width="15" style="94" customWidth="1"/>
    <col min="12035" max="12035" width="17.5546875" style="94" customWidth="1"/>
    <col min="12036" max="12036" width="24" style="94" customWidth="1"/>
    <col min="12037" max="12037" width="25.33203125" style="94" customWidth="1"/>
    <col min="12038" max="12038" width="18.88671875" style="94" customWidth="1"/>
    <col min="12039" max="12285" width="8.88671875" style="94"/>
    <col min="12286" max="12286" width="20.6640625" style="94" customWidth="1"/>
    <col min="12287" max="12287" width="48.44140625" style="94" customWidth="1"/>
    <col min="12288" max="12288" width="25.33203125" style="94" customWidth="1"/>
    <col min="12289" max="12289" width="20" style="94" customWidth="1"/>
    <col min="12290" max="12290" width="15" style="94" customWidth="1"/>
    <col min="12291" max="12291" width="17.5546875" style="94" customWidth="1"/>
    <col min="12292" max="12292" width="24" style="94" customWidth="1"/>
    <col min="12293" max="12293" width="25.33203125" style="94" customWidth="1"/>
    <col min="12294" max="12294" width="18.88671875" style="94" customWidth="1"/>
    <col min="12295" max="12541" width="8.88671875" style="94"/>
    <col min="12542" max="12542" width="20.6640625" style="94" customWidth="1"/>
    <col min="12543" max="12543" width="48.44140625" style="94" customWidth="1"/>
    <col min="12544" max="12544" width="25.33203125" style="94" customWidth="1"/>
    <col min="12545" max="12545" width="20" style="94" customWidth="1"/>
    <col min="12546" max="12546" width="15" style="94" customWidth="1"/>
    <col min="12547" max="12547" width="17.5546875" style="94" customWidth="1"/>
    <col min="12548" max="12548" width="24" style="94" customWidth="1"/>
    <col min="12549" max="12549" width="25.33203125" style="94" customWidth="1"/>
    <col min="12550" max="12550" width="18.88671875" style="94" customWidth="1"/>
    <col min="12551" max="12797" width="8.88671875" style="94"/>
    <col min="12798" max="12798" width="20.6640625" style="94" customWidth="1"/>
    <col min="12799" max="12799" width="48.44140625" style="94" customWidth="1"/>
    <col min="12800" max="12800" width="25.33203125" style="94" customWidth="1"/>
    <col min="12801" max="12801" width="20" style="94" customWidth="1"/>
    <col min="12802" max="12802" width="15" style="94" customWidth="1"/>
    <col min="12803" max="12803" width="17.5546875" style="94" customWidth="1"/>
    <col min="12804" max="12804" width="24" style="94" customWidth="1"/>
    <col min="12805" max="12805" width="25.33203125" style="94" customWidth="1"/>
    <col min="12806" max="12806" width="18.88671875" style="94" customWidth="1"/>
    <col min="12807" max="13053" width="8.88671875" style="94"/>
    <col min="13054" max="13054" width="20.6640625" style="94" customWidth="1"/>
    <col min="13055" max="13055" width="48.44140625" style="94" customWidth="1"/>
    <col min="13056" max="13056" width="25.33203125" style="94" customWidth="1"/>
    <col min="13057" max="13057" width="20" style="94" customWidth="1"/>
    <col min="13058" max="13058" width="15" style="94" customWidth="1"/>
    <col min="13059" max="13059" width="17.5546875" style="94" customWidth="1"/>
    <col min="13060" max="13060" width="24" style="94" customWidth="1"/>
    <col min="13061" max="13061" width="25.33203125" style="94" customWidth="1"/>
    <col min="13062" max="13062" width="18.88671875" style="94" customWidth="1"/>
    <col min="13063" max="13309" width="8.88671875" style="94"/>
    <col min="13310" max="13310" width="20.6640625" style="94" customWidth="1"/>
    <col min="13311" max="13311" width="48.44140625" style="94" customWidth="1"/>
    <col min="13312" max="13312" width="25.33203125" style="94" customWidth="1"/>
    <col min="13313" max="13313" width="20" style="94" customWidth="1"/>
    <col min="13314" max="13314" width="15" style="94" customWidth="1"/>
    <col min="13315" max="13315" width="17.5546875" style="94" customWidth="1"/>
    <col min="13316" max="13316" width="24" style="94" customWidth="1"/>
    <col min="13317" max="13317" width="25.33203125" style="94" customWidth="1"/>
    <col min="13318" max="13318" width="18.88671875" style="94" customWidth="1"/>
    <col min="13319" max="13565" width="8.88671875" style="94"/>
    <col min="13566" max="13566" width="20.6640625" style="94" customWidth="1"/>
    <col min="13567" max="13567" width="48.44140625" style="94" customWidth="1"/>
    <col min="13568" max="13568" width="25.33203125" style="94" customWidth="1"/>
    <col min="13569" max="13569" width="20" style="94" customWidth="1"/>
    <col min="13570" max="13570" width="15" style="94" customWidth="1"/>
    <col min="13571" max="13571" width="17.5546875" style="94" customWidth="1"/>
    <col min="13572" max="13572" width="24" style="94" customWidth="1"/>
    <col min="13573" max="13573" width="25.33203125" style="94" customWidth="1"/>
    <col min="13574" max="13574" width="18.88671875" style="94" customWidth="1"/>
    <col min="13575" max="13821" width="8.88671875" style="94"/>
    <col min="13822" max="13822" width="20.6640625" style="94" customWidth="1"/>
    <col min="13823" max="13823" width="48.44140625" style="94" customWidth="1"/>
    <col min="13824" max="13824" width="25.33203125" style="94" customWidth="1"/>
    <col min="13825" max="13825" width="20" style="94" customWidth="1"/>
    <col min="13826" max="13826" width="15" style="94" customWidth="1"/>
    <col min="13827" max="13827" width="17.5546875" style="94" customWidth="1"/>
    <col min="13828" max="13828" width="24" style="94" customWidth="1"/>
    <col min="13829" max="13829" width="25.33203125" style="94" customWidth="1"/>
    <col min="13830" max="13830" width="18.88671875" style="94" customWidth="1"/>
    <col min="13831" max="14077" width="8.88671875" style="94"/>
    <col min="14078" max="14078" width="20.6640625" style="94" customWidth="1"/>
    <col min="14079" max="14079" width="48.44140625" style="94" customWidth="1"/>
    <col min="14080" max="14080" width="25.33203125" style="94" customWidth="1"/>
    <col min="14081" max="14081" width="20" style="94" customWidth="1"/>
    <col min="14082" max="14082" width="15" style="94" customWidth="1"/>
    <col min="14083" max="14083" width="17.5546875" style="94" customWidth="1"/>
    <col min="14084" max="14084" width="24" style="94" customWidth="1"/>
    <col min="14085" max="14085" width="25.33203125" style="94" customWidth="1"/>
    <col min="14086" max="14086" width="18.88671875" style="94" customWidth="1"/>
    <col min="14087" max="14333" width="8.88671875" style="94"/>
    <col min="14334" max="14334" width="20.6640625" style="94" customWidth="1"/>
    <col min="14335" max="14335" width="48.44140625" style="94" customWidth="1"/>
    <col min="14336" max="14336" width="25.33203125" style="94" customWidth="1"/>
    <col min="14337" max="14337" width="20" style="94" customWidth="1"/>
    <col min="14338" max="14338" width="15" style="94" customWidth="1"/>
    <col min="14339" max="14339" width="17.5546875" style="94" customWidth="1"/>
    <col min="14340" max="14340" width="24" style="94" customWidth="1"/>
    <col min="14341" max="14341" width="25.33203125" style="94" customWidth="1"/>
    <col min="14342" max="14342" width="18.88671875" style="94" customWidth="1"/>
    <col min="14343" max="14589" width="8.88671875" style="94"/>
    <col min="14590" max="14590" width="20.6640625" style="94" customWidth="1"/>
    <col min="14591" max="14591" width="48.44140625" style="94" customWidth="1"/>
    <col min="14592" max="14592" width="25.33203125" style="94" customWidth="1"/>
    <col min="14593" max="14593" width="20" style="94" customWidth="1"/>
    <col min="14594" max="14594" width="15" style="94" customWidth="1"/>
    <col min="14595" max="14595" width="17.5546875" style="94" customWidth="1"/>
    <col min="14596" max="14596" width="24" style="94" customWidth="1"/>
    <col min="14597" max="14597" width="25.33203125" style="94" customWidth="1"/>
    <col min="14598" max="14598" width="18.88671875" style="94" customWidth="1"/>
    <col min="14599" max="14845" width="8.88671875" style="94"/>
    <col min="14846" max="14846" width="20.6640625" style="94" customWidth="1"/>
    <col min="14847" max="14847" width="48.44140625" style="94" customWidth="1"/>
    <col min="14848" max="14848" width="25.33203125" style="94" customWidth="1"/>
    <col min="14849" max="14849" width="20" style="94" customWidth="1"/>
    <col min="14850" max="14850" width="15" style="94" customWidth="1"/>
    <col min="14851" max="14851" width="17.5546875" style="94" customWidth="1"/>
    <col min="14852" max="14852" width="24" style="94" customWidth="1"/>
    <col min="14853" max="14853" width="25.33203125" style="94" customWidth="1"/>
    <col min="14854" max="14854" width="18.88671875" style="94" customWidth="1"/>
    <col min="14855" max="15101" width="8.88671875" style="94"/>
    <col min="15102" max="15102" width="20.6640625" style="94" customWidth="1"/>
    <col min="15103" max="15103" width="48.44140625" style="94" customWidth="1"/>
    <col min="15104" max="15104" width="25.33203125" style="94" customWidth="1"/>
    <col min="15105" max="15105" width="20" style="94" customWidth="1"/>
    <col min="15106" max="15106" width="15" style="94" customWidth="1"/>
    <col min="15107" max="15107" width="17.5546875" style="94" customWidth="1"/>
    <col min="15108" max="15108" width="24" style="94" customWidth="1"/>
    <col min="15109" max="15109" width="25.33203125" style="94" customWidth="1"/>
    <col min="15110" max="15110" width="18.88671875" style="94" customWidth="1"/>
    <col min="15111" max="15357" width="8.88671875" style="94"/>
    <col min="15358" max="15358" width="20.6640625" style="94" customWidth="1"/>
    <col min="15359" max="15359" width="48.44140625" style="94" customWidth="1"/>
    <col min="15360" max="15360" width="25.33203125" style="94" customWidth="1"/>
    <col min="15361" max="15361" width="20" style="94" customWidth="1"/>
    <col min="15362" max="15362" width="15" style="94" customWidth="1"/>
    <col min="15363" max="15363" width="17.5546875" style="94" customWidth="1"/>
    <col min="15364" max="15364" width="24" style="94" customWidth="1"/>
    <col min="15365" max="15365" width="25.33203125" style="94" customWidth="1"/>
    <col min="15366" max="15366" width="18.88671875" style="94" customWidth="1"/>
    <col min="15367" max="15613" width="8.88671875" style="94"/>
    <col min="15614" max="15614" width="20.6640625" style="94" customWidth="1"/>
    <col min="15615" max="15615" width="48.44140625" style="94" customWidth="1"/>
    <col min="15616" max="15616" width="25.33203125" style="94" customWidth="1"/>
    <col min="15617" max="15617" width="20" style="94" customWidth="1"/>
    <col min="15618" max="15618" width="15" style="94" customWidth="1"/>
    <col min="15619" max="15619" width="17.5546875" style="94" customWidth="1"/>
    <col min="15620" max="15620" width="24" style="94" customWidth="1"/>
    <col min="15621" max="15621" width="25.33203125" style="94" customWidth="1"/>
    <col min="15622" max="15622" width="18.88671875" style="94" customWidth="1"/>
    <col min="15623" max="15869" width="8.88671875" style="94"/>
    <col min="15870" max="15870" width="20.6640625" style="94" customWidth="1"/>
    <col min="15871" max="15871" width="48.44140625" style="94" customWidth="1"/>
    <col min="15872" max="15872" width="25.33203125" style="94" customWidth="1"/>
    <col min="15873" max="15873" width="20" style="94" customWidth="1"/>
    <col min="15874" max="15874" width="15" style="94" customWidth="1"/>
    <col min="15875" max="15875" width="17.5546875" style="94" customWidth="1"/>
    <col min="15876" max="15876" width="24" style="94" customWidth="1"/>
    <col min="15877" max="15877" width="25.33203125" style="94" customWidth="1"/>
    <col min="15878" max="15878" width="18.88671875" style="94" customWidth="1"/>
    <col min="15879" max="16125" width="8.88671875" style="94"/>
    <col min="16126" max="16126" width="20.6640625" style="94" customWidth="1"/>
    <col min="16127" max="16127" width="48.44140625" style="94" customWidth="1"/>
    <col min="16128" max="16128" width="25.33203125" style="94" customWidth="1"/>
    <col min="16129" max="16129" width="20" style="94" customWidth="1"/>
    <col min="16130" max="16130" width="15" style="94" customWidth="1"/>
    <col min="16131" max="16131" width="17.5546875" style="94" customWidth="1"/>
    <col min="16132" max="16132" width="24" style="94" customWidth="1"/>
    <col min="16133" max="16133" width="25.33203125" style="94" customWidth="1"/>
    <col min="16134" max="16134" width="18.88671875" style="94" customWidth="1"/>
    <col min="16135" max="16384" width="8.88671875" style="94"/>
  </cols>
  <sheetData>
    <row r="1" spans="1:9" ht="16.2" thickBot="1">
      <c r="A1" s="339" t="s">
        <v>249</v>
      </c>
      <c r="B1" s="77"/>
      <c r="C1" s="77"/>
      <c r="D1" s="78"/>
      <c r="E1" s="78"/>
      <c r="F1" s="77"/>
      <c r="G1" s="77"/>
    </row>
    <row r="2" spans="1:9" ht="47.4" thickBot="1">
      <c r="A2" s="79" t="s">
        <v>0</v>
      </c>
      <c r="B2" s="80" t="s">
        <v>1</v>
      </c>
      <c r="C2" s="81" t="str">
        <f>Revenue!$C$1</f>
        <v>Estimated Inpatient Revenue (FY15*2.6%)</v>
      </c>
      <c r="D2" s="81" t="s">
        <v>100</v>
      </c>
      <c r="E2" s="81" t="s">
        <v>147</v>
      </c>
      <c r="F2" s="81" t="s">
        <v>148</v>
      </c>
      <c r="G2" s="81" t="s">
        <v>149</v>
      </c>
      <c r="H2" s="81" t="s">
        <v>160</v>
      </c>
      <c r="I2" s="93" t="s">
        <v>161</v>
      </c>
    </row>
    <row r="3" spans="1:9">
      <c r="A3" s="95">
        <v>210062</v>
      </c>
      <c r="B3" s="96" t="s">
        <v>2</v>
      </c>
      <c r="C3" s="97">
        <f>VLOOKUP(A3,Revenue!$A$2:$C$47,3,0)</f>
        <v>163208213.46317798</v>
      </c>
      <c r="D3" s="275">
        <v>4.9999999999999996E-2</v>
      </c>
      <c r="E3" s="294">
        <f>-'7Aggregate Summary'!$E$19</f>
        <v>-0.02</v>
      </c>
      <c r="F3" s="98">
        <f t="shared" ref="F3:F45" si="0">E3*C3</f>
        <v>-3264164.2692635595</v>
      </c>
      <c r="G3" s="98">
        <f t="shared" ref="G3:G45" si="1">IF(F3&lt;0,F3,F3-(F3*(1-$F$52)))</f>
        <v>-3264164.2692635595</v>
      </c>
      <c r="H3" s="99">
        <f>'7Aggregate Summary'!B7</f>
        <v>-0.02</v>
      </c>
      <c r="I3" s="119">
        <f>C3*H3</f>
        <v>-3264164.2692635595</v>
      </c>
    </row>
    <row r="4" spans="1:9">
      <c r="A4" s="101">
        <v>210003</v>
      </c>
      <c r="B4" s="102" t="s">
        <v>3</v>
      </c>
      <c r="C4" s="103">
        <f>VLOOKUP(A4,Revenue!$A$2:$C$47,3,0)</f>
        <v>177243165.22063905</v>
      </c>
      <c r="D4" s="265">
        <v>0.11</v>
      </c>
      <c r="E4" s="295">
        <f>$E$3- ((D4-$D$3)*($E$3/($H$55-$D$3)))</f>
        <v>-1.6759948340013535E-2</v>
      </c>
      <c r="F4" s="104">
        <f t="shared" si="0"/>
        <v>-2970586.2927183942</v>
      </c>
      <c r="G4" s="104">
        <f t="shared" si="1"/>
        <v>-2970586.2927183942</v>
      </c>
      <c r="H4" s="99">
        <f>$H$3- ((D4-$H$56)*($H$3/($H$57-$H$56)))</f>
        <v>-1.6759948340013535E-2</v>
      </c>
      <c r="I4" s="119">
        <f t="shared" ref="I4:I45" si="2">C4*H4</f>
        <v>-2970586.2927183942</v>
      </c>
    </row>
    <row r="5" spans="1:9">
      <c r="A5" s="101">
        <v>210048</v>
      </c>
      <c r="B5" s="102" t="s">
        <v>4</v>
      </c>
      <c r="C5" s="103">
        <f>VLOOKUP(A5,Revenue!$A$2:$C$47,3,0)</f>
        <v>167386496.75761572</v>
      </c>
      <c r="D5" s="265">
        <v>0.23</v>
      </c>
      <c r="E5" s="295">
        <f t="shared" ref="E5:E44" si="3">$E$3- ((D5-$D$3)*($E$3/($H$55-$D$3)))</f>
        <v>-1.02798450200406E-2</v>
      </c>
      <c r="F5" s="104">
        <f t="shared" si="0"/>
        <v>-1720707.245115818</v>
      </c>
      <c r="G5" s="104">
        <f t="shared" si="1"/>
        <v>-1720707.245115818</v>
      </c>
      <c r="H5" s="99">
        <f t="shared" ref="H5:H21" si="4">$H$3- ((D5-$H$56)*($H$3/($H$57-$H$56)))</f>
        <v>-1.02798450200406E-2</v>
      </c>
      <c r="I5" s="119">
        <f t="shared" si="2"/>
        <v>-1720707.245115818</v>
      </c>
    </row>
    <row r="6" spans="1:9">
      <c r="A6" s="101">
        <v>210013</v>
      </c>
      <c r="B6" s="102" t="s">
        <v>5</v>
      </c>
      <c r="C6" s="103">
        <f>VLOOKUP(A6,Revenue!$A$2:$C$47,3,0)</f>
        <v>78212787.330636472</v>
      </c>
      <c r="D6" s="265">
        <v>0.25071599999999999</v>
      </c>
      <c r="E6" s="295">
        <f t="shared" si="3"/>
        <v>-9.1611631835692743E-3</v>
      </c>
      <c r="F6" s="104">
        <f t="shared" si="0"/>
        <v>-716520.10777776025</v>
      </c>
      <c r="G6" s="104">
        <f t="shared" si="1"/>
        <v>-716520.10777776025</v>
      </c>
      <c r="H6" s="99">
        <f t="shared" si="4"/>
        <v>-9.1611631835692743E-3</v>
      </c>
      <c r="I6" s="119">
        <f t="shared" si="2"/>
        <v>-716520.10777776025</v>
      </c>
    </row>
    <row r="7" spans="1:9">
      <c r="A7" s="101">
        <v>210019</v>
      </c>
      <c r="B7" s="102" t="s">
        <v>6</v>
      </c>
      <c r="C7" s="103">
        <f>VLOOKUP(A7,Revenue!$A$2:$C$47,3,0)</f>
        <v>233728496.38738936</v>
      </c>
      <c r="D7" s="265">
        <v>0.26888800000000002</v>
      </c>
      <c r="E7" s="295">
        <f t="shared" si="3"/>
        <v>-8.179859537481373E-3</v>
      </c>
      <c r="F7" s="104">
        <f t="shared" si="0"/>
        <v>-1911866.2703555676</v>
      </c>
      <c r="G7" s="104">
        <f t="shared" si="1"/>
        <v>-1911866.2703555676</v>
      </c>
      <c r="H7" s="99">
        <f t="shared" si="4"/>
        <v>-8.179859537481373E-3</v>
      </c>
      <c r="I7" s="119">
        <f t="shared" si="2"/>
        <v>-1911866.2703555676</v>
      </c>
    </row>
    <row r="8" spans="1:9">
      <c r="A8" s="101">
        <v>210044</v>
      </c>
      <c r="B8" s="102" t="s">
        <v>7</v>
      </c>
      <c r="C8" s="103">
        <f>VLOOKUP(A8,Revenue!$A$2:$C$47,3,0)</f>
        <v>201533345.32362995</v>
      </c>
      <c r="D8" s="265">
        <v>0.27857200000000004</v>
      </c>
      <c r="E8" s="295">
        <f t="shared" si="3"/>
        <v>-7.6569151995595549E-3</v>
      </c>
      <c r="F8" s="104">
        <f t="shared" si="0"/>
        <v>-1543123.7350265866</v>
      </c>
      <c r="G8" s="104">
        <f t="shared" si="1"/>
        <v>-1543123.7350265866</v>
      </c>
      <c r="H8" s="99">
        <f t="shared" si="4"/>
        <v>-7.6569151995595549E-3</v>
      </c>
      <c r="I8" s="119">
        <f t="shared" si="2"/>
        <v>-1543123.7350265866</v>
      </c>
    </row>
    <row r="9" spans="1:9">
      <c r="A9" s="101">
        <v>210029</v>
      </c>
      <c r="B9" s="102" t="s">
        <v>8</v>
      </c>
      <c r="C9" s="103">
        <f>VLOOKUP(A9,Revenue!$A$2:$C$47,3,0)</f>
        <v>356396901.46731883</v>
      </c>
      <c r="D9" s="265">
        <v>0.28499999999999998</v>
      </c>
      <c r="E9" s="295">
        <f t="shared" si="3"/>
        <v>-7.309797665053009E-3</v>
      </c>
      <c r="F9" s="104">
        <f t="shared" si="0"/>
        <v>-2605189.2381779347</v>
      </c>
      <c r="G9" s="104">
        <f t="shared" si="1"/>
        <v>-2605189.2381779347</v>
      </c>
      <c r="H9" s="99">
        <f t="shared" si="4"/>
        <v>-7.309797665053009E-3</v>
      </c>
      <c r="I9" s="119">
        <f t="shared" si="2"/>
        <v>-2605189.2381779347</v>
      </c>
    </row>
    <row r="10" spans="1:9">
      <c r="A10" s="101">
        <v>210055</v>
      </c>
      <c r="B10" s="102" t="s">
        <v>9</v>
      </c>
      <c r="C10" s="103">
        <f>VLOOKUP(A10,Revenue!$A$2:$C$47,3,0)</f>
        <v>77501975.342135206</v>
      </c>
      <c r="D10" s="265">
        <v>0.29428399999999999</v>
      </c>
      <c r="E10" s="295">
        <f t="shared" si="3"/>
        <v>-6.8084536715311023E-3</v>
      </c>
      <c r="F10" s="104">
        <f t="shared" si="0"/>
        <v>-527668.60856907337</v>
      </c>
      <c r="G10" s="104">
        <f t="shared" si="1"/>
        <v>-527668.60856907337</v>
      </c>
      <c r="H10" s="99">
        <f t="shared" si="4"/>
        <v>-6.8084536715311023E-3</v>
      </c>
      <c r="I10" s="119">
        <f t="shared" si="2"/>
        <v>-527668.60856907337</v>
      </c>
    </row>
    <row r="11" spans="1:9">
      <c r="A11" s="101">
        <v>210060</v>
      </c>
      <c r="B11" s="102" t="s">
        <v>10</v>
      </c>
      <c r="C11" s="103">
        <f>VLOOKUP(A11,Revenue!$A$2:$C$47,3,0)</f>
        <v>17776133.449990414</v>
      </c>
      <c r="D11" s="265">
        <v>0.29499999999999998</v>
      </c>
      <c r="E11" s="295">
        <f t="shared" si="3"/>
        <v>-6.7697890550552642E-3</v>
      </c>
      <c r="F11" s="104">
        <f t="shared" si="0"/>
        <v>-120340.67367094688</v>
      </c>
      <c r="G11" s="104">
        <f t="shared" si="1"/>
        <v>-120340.67367094688</v>
      </c>
      <c r="H11" s="99">
        <f t="shared" si="4"/>
        <v>-6.7697890550552642E-3</v>
      </c>
      <c r="I11" s="119">
        <f t="shared" si="2"/>
        <v>-120340.67367094688</v>
      </c>
    </row>
    <row r="12" spans="1:9">
      <c r="A12" s="101">
        <v>210022</v>
      </c>
      <c r="B12" s="102" t="s">
        <v>11</v>
      </c>
      <c r="C12" s="103">
        <f>VLOOKUP(A12,Revenue!$A$2:$C$47,3,0)</f>
        <v>181410188.33315492</v>
      </c>
      <c r="D12" s="265">
        <v>0.31</v>
      </c>
      <c r="E12" s="295">
        <f t="shared" si="3"/>
        <v>-5.9597761400586469E-3</v>
      </c>
      <c r="F12" s="104">
        <f t="shared" si="0"/>
        <v>-1081164.1119914821</v>
      </c>
      <c r="G12" s="104">
        <f t="shared" si="1"/>
        <v>-1081164.1119914821</v>
      </c>
      <c r="H12" s="99">
        <f t="shared" si="4"/>
        <v>-5.9597761400586469E-3</v>
      </c>
      <c r="I12" s="119">
        <f t="shared" si="2"/>
        <v>-1081164.1119914821</v>
      </c>
    </row>
    <row r="13" spans="1:9">
      <c r="A13" s="101">
        <v>210001</v>
      </c>
      <c r="B13" s="102" t="s">
        <v>12</v>
      </c>
      <c r="C13" s="103">
        <f>VLOOKUP(A13,Revenue!$A$2:$C$47,3,0)</f>
        <v>187434496.6631088</v>
      </c>
      <c r="D13" s="265">
        <v>0.31000000000000005</v>
      </c>
      <c r="E13" s="295">
        <f t="shared" si="3"/>
        <v>-5.9597761400586435E-3</v>
      </c>
      <c r="F13" s="104">
        <f t="shared" si="0"/>
        <v>-1117067.6410366972</v>
      </c>
      <c r="G13" s="104">
        <f t="shared" si="1"/>
        <v>-1117067.6410366972</v>
      </c>
      <c r="H13" s="99">
        <f t="shared" si="4"/>
        <v>-5.9597761400586435E-3</v>
      </c>
      <c r="I13" s="119">
        <f t="shared" si="2"/>
        <v>-1117067.6410366972</v>
      </c>
    </row>
    <row r="14" spans="1:9">
      <c r="A14" s="101">
        <v>210040</v>
      </c>
      <c r="B14" s="102" t="s">
        <v>13</v>
      </c>
      <c r="C14" s="103">
        <f>VLOOKUP(A14,Revenue!$A$2:$C$47,3,0)</f>
        <v>142186717.48751882</v>
      </c>
      <c r="D14" s="265">
        <v>0.315716</v>
      </c>
      <c r="E14" s="295">
        <f t="shared" si="3"/>
        <v>-5.6511072185839364E-3</v>
      </c>
      <c r="F14" s="104">
        <f t="shared" si="0"/>
        <v>-803512.38558047242</v>
      </c>
      <c r="G14" s="104">
        <f t="shared" si="1"/>
        <v>-803512.38558047242</v>
      </c>
      <c r="H14" s="99">
        <f t="shared" si="4"/>
        <v>-5.6511072185839364E-3</v>
      </c>
      <c r="I14" s="119">
        <f t="shared" si="2"/>
        <v>-803512.38558047242</v>
      </c>
    </row>
    <row r="15" spans="1:9">
      <c r="A15" s="101">
        <v>210057</v>
      </c>
      <c r="B15" s="102" t="s">
        <v>14</v>
      </c>
      <c r="C15" s="103">
        <f>VLOOKUP(A15,Revenue!$A$2:$C$47,3,0)</f>
        <v>228731774.96088892</v>
      </c>
      <c r="D15" s="265">
        <v>0.32</v>
      </c>
      <c r="E15" s="295">
        <f t="shared" si="3"/>
        <v>-5.4197675300609021E-3</v>
      </c>
      <c r="F15" s="104">
        <f t="shared" si="0"/>
        <v>-1239673.047026223</v>
      </c>
      <c r="G15" s="104">
        <f t="shared" si="1"/>
        <v>-1239673.047026223</v>
      </c>
      <c r="H15" s="99">
        <f t="shared" si="4"/>
        <v>-5.4197675300609021E-3</v>
      </c>
      <c r="I15" s="119">
        <f t="shared" si="2"/>
        <v>-1239673.047026223</v>
      </c>
    </row>
    <row r="16" spans="1:9">
      <c r="A16" s="101">
        <v>210018</v>
      </c>
      <c r="B16" s="102" t="s">
        <v>15</v>
      </c>
      <c r="C16" s="103">
        <f>VLOOKUP(A16,Revenue!$A$2:$C$47,3,0)</f>
        <v>87652208.15841648</v>
      </c>
      <c r="D16" s="265">
        <v>0.33499999999999996</v>
      </c>
      <c r="E16" s="295">
        <f t="shared" si="3"/>
        <v>-4.6097546150642883E-3</v>
      </c>
      <c r="F16" s="104">
        <f t="shared" si="0"/>
        <v>-404055.17107883602</v>
      </c>
      <c r="G16" s="104">
        <f t="shared" si="1"/>
        <v>-404055.17107883602</v>
      </c>
      <c r="H16" s="99">
        <f t="shared" si="4"/>
        <v>-4.6097546150642883E-3</v>
      </c>
      <c r="I16" s="119">
        <f t="shared" si="2"/>
        <v>-404055.17107883602</v>
      </c>
    </row>
    <row r="17" spans="1:9">
      <c r="A17" s="101">
        <v>210011</v>
      </c>
      <c r="B17" s="102" t="s">
        <v>16</v>
      </c>
      <c r="C17" s="103">
        <f>VLOOKUP(A17,Revenue!$A$2:$C$47,3,0)</f>
        <v>239121555.83864471</v>
      </c>
      <c r="D17" s="265">
        <v>0.33500000000000002</v>
      </c>
      <c r="E17" s="295">
        <f t="shared" si="3"/>
        <v>-4.6097546150642849E-3</v>
      </c>
      <c r="F17" s="104">
        <f t="shared" si="0"/>
        <v>-1102291.6955885445</v>
      </c>
      <c r="G17" s="104">
        <f t="shared" si="1"/>
        <v>-1102291.6955885445</v>
      </c>
      <c r="H17" s="99">
        <f t="shared" si="4"/>
        <v>-4.6097546150642849E-3</v>
      </c>
      <c r="I17" s="119">
        <f t="shared" si="2"/>
        <v>-1102291.6955885445</v>
      </c>
    </row>
    <row r="18" spans="1:9">
      <c r="A18" s="101">
        <v>210015</v>
      </c>
      <c r="B18" s="102" t="s">
        <v>17</v>
      </c>
      <c r="C18" s="103">
        <f>VLOOKUP(A18,Revenue!$A$2:$C$47,3,0)</f>
        <v>285691170.35922825</v>
      </c>
      <c r="D18" s="265">
        <v>0.34500000000000003</v>
      </c>
      <c r="E18" s="295">
        <f t="shared" si="3"/>
        <v>-4.06974600506654E-3</v>
      </c>
      <c r="F18" s="104">
        <f t="shared" si="0"/>
        <v>-1162690.4992522534</v>
      </c>
      <c r="G18" s="104">
        <f t="shared" si="1"/>
        <v>-1162690.4992522534</v>
      </c>
      <c r="H18" s="99">
        <f t="shared" si="4"/>
        <v>-4.06974600506654E-3</v>
      </c>
      <c r="I18" s="119">
        <f t="shared" si="2"/>
        <v>-1162690.4992522534</v>
      </c>
    </row>
    <row r="19" spans="1:9">
      <c r="A19" s="101">
        <v>210016</v>
      </c>
      <c r="B19" s="102" t="s">
        <v>18</v>
      </c>
      <c r="C19" s="103">
        <f>VLOOKUP(A19,Revenue!$A$2:$C$47,3,0)</f>
        <v>161698669.47905135</v>
      </c>
      <c r="D19" s="265">
        <v>0.36722399999999999</v>
      </c>
      <c r="E19" s="295">
        <f t="shared" si="3"/>
        <v>-2.8696308702075533E-3</v>
      </c>
      <c r="F19" s="104">
        <f t="shared" si="0"/>
        <v>-464015.49360857368</v>
      </c>
      <c r="G19" s="104">
        <f t="shared" si="1"/>
        <v>-464015.49360857368</v>
      </c>
      <c r="H19" s="99">
        <f t="shared" si="4"/>
        <v>-2.8696308702075533E-3</v>
      </c>
      <c r="I19" s="119">
        <f t="shared" si="2"/>
        <v>-464015.49360857368</v>
      </c>
    </row>
    <row r="20" spans="1:9">
      <c r="A20" s="101">
        <v>210024</v>
      </c>
      <c r="B20" s="102" t="s">
        <v>19</v>
      </c>
      <c r="C20" s="103">
        <f>VLOOKUP(A20,Revenue!$A$2:$C$47,3,0)</f>
        <v>242505500.48554313</v>
      </c>
      <c r="D20" s="265">
        <v>0.374444</v>
      </c>
      <c r="E20" s="295">
        <f t="shared" si="3"/>
        <v>-2.4797446537891815E-3</v>
      </c>
      <c r="F20" s="104">
        <f t="shared" si="0"/>
        <v>-601351.71834349539</v>
      </c>
      <c r="G20" s="104">
        <f t="shared" si="1"/>
        <v>-601351.71834349539</v>
      </c>
      <c r="H20" s="99">
        <f t="shared" si="4"/>
        <v>-2.4797446537891815E-3</v>
      </c>
      <c r="I20" s="119">
        <f t="shared" si="2"/>
        <v>-601351.71834349539</v>
      </c>
    </row>
    <row r="21" spans="1:9">
      <c r="A21" s="101">
        <v>210033</v>
      </c>
      <c r="B21" s="102" t="s">
        <v>20</v>
      </c>
      <c r="C21" s="103">
        <f>VLOOKUP(A21,Revenue!$A$2:$C$47,3,0)</f>
        <v>138209278.26224214</v>
      </c>
      <c r="D21" s="265">
        <v>0.38</v>
      </c>
      <c r="E21" s="295">
        <f t="shared" si="3"/>
        <v>-2.1797158700744348E-3</v>
      </c>
      <c r="F21" s="104">
        <f t="shared" si="0"/>
        <v>-301256.95721974282</v>
      </c>
      <c r="G21" s="104">
        <f t="shared" si="1"/>
        <v>-301256.95721974282</v>
      </c>
      <c r="H21" s="99">
        <f t="shared" si="4"/>
        <v>-2.1797158700744348E-3</v>
      </c>
      <c r="I21" s="119">
        <f t="shared" si="2"/>
        <v>-301256.95721974282</v>
      </c>
    </row>
    <row r="22" spans="1:9">
      <c r="A22" s="101">
        <v>210004</v>
      </c>
      <c r="B22" s="102" t="s">
        <v>21</v>
      </c>
      <c r="C22" s="103">
        <f>VLOOKUP(A22,Revenue!$A$2:$C$47,3,0)</f>
        <v>319596342.21781081</v>
      </c>
      <c r="D22" s="265">
        <v>0.4</v>
      </c>
      <c r="E22" s="295">
        <f t="shared" si="3"/>
        <v>-1.0996986500789452E-3</v>
      </c>
      <c r="F22" s="104">
        <f t="shared" si="0"/>
        <v>-351459.66610709514</v>
      </c>
      <c r="G22" s="104">
        <f t="shared" si="1"/>
        <v>-351459.66610709514</v>
      </c>
      <c r="H22" s="99">
        <f t="shared" ref="H22" si="5">$H$3- ((D22-$H$56)*($H$3/($H$57-$H$56)))</f>
        <v>-1.0996986500789452E-3</v>
      </c>
      <c r="I22" s="119">
        <f t="shared" si="2"/>
        <v>-351459.66610709514</v>
      </c>
    </row>
    <row r="23" spans="1:9">
      <c r="A23" s="101">
        <v>210056</v>
      </c>
      <c r="B23" s="102" t="s">
        <v>22</v>
      </c>
      <c r="C23" s="103">
        <f>VLOOKUP(A23,Revenue!$A$2:$C$47,3,0)</f>
        <v>180861011.49427712</v>
      </c>
      <c r="D23" s="265">
        <v>0.40500000000000003</v>
      </c>
      <c r="E23" s="295">
        <f t="shared" si="3"/>
        <v>-8.296943450800745E-4</v>
      </c>
      <c r="F23" s="104">
        <f t="shared" si="0"/>
        <v>-150059.35848226407</v>
      </c>
      <c r="G23" s="104">
        <f t="shared" si="1"/>
        <v>-150059.35848226407</v>
      </c>
      <c r="H23" s="99">
        <f>$H$3- ((D23-$H$56)*($H$3/($H$57-$H$56)))</f>
        <v>-8.296943450800745E-4</v>
      </c>
      <c r="I23" s="119">
        <f t="shared" si="2"/>
        <v>-150059.35848226407</v>
      </c>
    </row>
    <row r="24" spans="1:9">
      <c r="A24" s="101">
        <v>210061</v>
      </c>
      <c r="B24" s="102" t="s">
        <v>23</v>
      </c>
      <c r="C24" s="103">
        <f>VLOOKUP(A24,Revenue!$A$2:$C$47,3,0)</f>
        <v>38640762.060988352</v>
      </c>
      <c r="D24" s="265">
        <v>0.42642800000000003</v>
      </c>
      <c r="E24" s="296">
        <f t="shared" si="3"/>
        <v>3.2743610442309209E-4</v>
      </c>
      <c r="F24" s="105">
        <f t="shared" si="0"/>
        <v>12652.380601189638</v>
      </c>
      <c r="G24" s="105">
        <f t="shared" si="1"/>
        <v>9306.1275703983883</v>
      </c>
      <c r="H24" s="106">
        <f>'7Aggregate Summary'!$C$7- ((D24-$H$58)*('7Aggregate Summary'!$C$7/($H$57-$H$58)))</f>
        <v>2.1851242728041127E-4</v>
      </c>
      <c r="I24" s="267">
        <f t="shared" si="2"/>
        <v>8443.4867099113926</v>
      </c>
    </row>
    <row r="25" spans="1:9">
      <c r="A25" s="101">
        <v>210012</v>
      </c>
      <c r="B25" s="102" t="s">
        <v>24</v>
      </c>
      <c r="C25" s="103">
        <f>VLOOKUP(A25,Revenue!$A$2:$C$47,3,0)</f>
        <v>429154678.73181057</v>
      </c>
      <c r="D25" s="265">
        <v>0.44555600000000006</v>
      </c>
      <c r="E25" s="296">
        <f t="shared" si="3"/>
        <v>1.3603645736267808E-3</v>
      </c>
      <c r="F25" s="105">
        <f t="shared" si="0"/>
        <v>583806.82155293762</v>
      </c>
      <c r="G25" s="105">
        <f t="shared" si="1"/>
        <v>429403.83545920276</v>
      </c>
      <c r="H25" s="106">
        <f>'7Aggregate Summary'!$C$7- ((D25-$H$58)*('7Aggregate Summary'!$C$7/($H$57-$H$58)))</f>
        <v>9.0783075218049854E-4</v>
      </c>
      <c r="I25" s="267">
        <f t="shared" si="2"/>
        <v>389599.81479487981</v>
      </c>
    </row>
    <row r="26" spans="1:9">
      <c r="A26" s="101">
        <v>210038</v>
      </c>
      <c r="B26" s="102" t="s">
        <v>25</v>
      </c>
      <c r="C26" s="103">
        <f>VLOOKUP(A26,Revenue!$A$2:$C$47,3,0)</f>
        <v>133787810.98689511</v>
      </c>
      <c r="D26" s="265">
        <v>0.45071600000000001</v>
      </c>
      <c r="E26" s="296">
        <f t="shared" si="3"/>
        <v>1.6390090163856119E-3</v>
      </c>
      <c r="F26" s="105">
        <f t="shared" si="0"/>
        <v>219279.42849001513</v>
      </c>
      <c r="G26" s="105">
        <f t="shared" si="1"/>
        <v>161285.24737078021</v>
      </c>
      <c r="H26" s="106">
        <f>'7Aggregate Summary'!$C$7- ((D26-$H$58)*('7Aggregate Summary'!$C$7/($H$57-$H$58)))</f>
        <v>1.0937823705663412E-3</v>
      </c>
      <c r="I26" s="267">
        <f t="shared" si="2"/>
        <v>146334.74905412772</v>
      </c>
    </row>
    <row r="27" spans="1:9">
      <c r="A27" s="101">
        <v>210035</v>
      </c>
      <c r="B27" s="102" t="s">
        <v>26</v>
      </c>
      <c r="C27" s="103">
        <f>VLOOKUP(A27,Revenue!$A$2:$C$47,3,0)</f>
        <v>76338049.290417254</v>
      </c>
      <c r="D27" s="265">
        <v>0.45500000000000007</v>
      </c>
      <c r="E27" s="296">
        <f t="shared" si="3"/>
        <v>1.8703487049086497E-3</v>
      </c>
      <c r="F27" s="105">
        <f t="shared" si="0"/>
        <v>142778.77162558457</v>
      </c>
      <c r="G27" s="105">
        <f t="shared" si="1"/>
        <v>105017.19043825913</v>
      </c>
      <c r="H27" s="106">
        <f>'7Aggregate Summary'!$C$7- ((D27-$H$58)*('7Aggregate Summary'!$C$7/($H$57-$H$58)))</f>
        <v>1.2481654583890098E-3</v>
      </c>
      <c r="I27" s="267">
        <f t="shared" si="2"/>
        <v>95282.51628509647</v>
      </c>
    </row>
    <row r="28" spans="1:9">
      <c r="A28" s="101">
        <v>210034</v>
      </c>
      <c r="B28" s="102" t="s">
        <v>27</v>
      </c>
      <c r="C28" s="103">
        <f>VLOOKUP(A28,Revenue!$A$2:$C$47,3,0)</f>
        <v>124002219.66514386</v>
      </c>
      <c r="D28" s="265">
        <v>0.46857199999999999</v>
      </c>
      <c r="E28" s="296">
        <f t="shared" si="3"/>
        <v>2.6032483903975848E-3</v>
      </c>
      <c r="F28" s="105">
        <f t="shared" si="0"/>
        <v>322808.57874901348</v>
      </c>
      <c r="G28" s="105">
        <f t="shared" si="1"/>
        <v>237433.4055659734</v>
      </c>
      <c r="H28" s="106">
        <f>'7Aggregate Summary'!$C$7- ((D28-$H$58)*('7Aggregate Summary'!$C$7/($H$57-$H$58)))</f>
        <v>1.7372614593061941E-3</v>
      </c>
      <c r="I28" s="267">
        <f t="shared" si="2"/>
        <v>215424.27709267507</v>
      </c>
    </row>
    <row r="29" spans="1:9">
      <c r="A29" s="101">
        <v>210032</v>
      </c>
      <c r="B29" s="102" t="s">
        <v>28</v>
      </c>
      <c r="C29" s="103">
        <f>VLOOKUP(A29,Revenue!$A$2:$C$47,3,0)</f>
        <v>67852188.547545061</v>
      </c>
      <c r="D29" s="265">
        <v>0.48214400000000002</v>
      </c>
      <c r="E29" s="296">
        <f t="shared" si="3"/>
        <v>3.3361480758865233E-3</v>
      </c>
      <c r="F29" s="105">
        <f t="shared" si="0"/>
        <v>226364.94826758205</v>
      </c>
      <c r="G29" s="105">
        <f t="shared" si="1"/>
        <v>166496.81608903539</v>
      </c>
      <c r="H29" s="106">
        <f>'7Aggregate Summary'!$C$7- ((D29-$H$58)*('7Aggregate Summary'!$C$7/($H$57-$H$58)))</f>
        <v>2.2263574602233811E-3</v>
      </c>
      <c r="I29" s="267">
        <f t="shared" si="2"/>
        <v>151063.22616531039</v>
      </c>
    </row>
    <row r="30" spans="1:9">
      <c r="A30" s="101">
        <v>210002</v>
      </c>
      <c r="B30" s="102" t="s">
        <v>29</v>
      </c>
      <c r="C30" s="103">
        <f>VLOOKUP(A30,Revenue!$A$2:$C$47,3,0)</f>
        <v>863843448.60398436</v>
      </c>
      <c r="D30" s="265">
        <v>0.48388799999999998</v>
      </c>
      <c r="E30" s="296">
        <f t="shared" si="3"/>
        <v>3.4303255774701287E-3</v>
      </c>
      <c r="F30" s="105">
        <f t="shared" si="0"/>
        <v>2963264.2766762502</v>
      </c>
      <c r="G30" s="105">
        <f t="shared" si="1"/>
        <v>2179551.5209968165</v>
      </c>
      <c r="H30" s="106">
        <f>'7Aggregate Summary'!$C$7- ((D30-$H$58)*('7Aggregate Summary'!$C$7/($H$57-$H$58)))</f>
        <v>2.2892062242669681E-3</v>
      </c>
      <c r="I30" s="267">
        <f t="shared" si="2"/>
        <v>1977515.7993364837</v>
      </c>
    </row>
    <row r="31" spans="1:9" ht="18.75" customHeight="1">
      <c r="A31" s="101">
        <v>210039</v>
      </c>
      <c r="B31" s="102" t="s">
        <v>30</v>
      </c>
      <c r="C31" s="103">
        <f>VLOOKUP(A31,Revenue!$A$2:$C$47,3,0)</f>
        <v>67385286.839919657</v>
      </c>
      <c r="D31" s="265">
        <v>0.49142800000000003</v>
      </c>
      <c r="E31" s="296">
        <f t="shared" si="3"/>
        <v>3.8374920694084318E-3</v>
      </c>
      <c r="F31" s="105">
        <f t="shared" si="0"/>
        <v>258590.50384300406</v>
      </c>
      <c r="G31" s="105">
        <f t="shared" si="1"/>
        <v>190199.48048593494</v>
      </c>
      <c r="H31" s="106">
        <f>'7Aggregate Summary'!$C$7- ((D31-$H$58)*('7Aggregate Summary'!$C$7/($H$57-$H$58)))</f>
        <v>2.5609262247765184E-3</v>
      </c>
      <c r="I31" s="267">
        <f t="shared" si="2"/>
        <v>172568.74823243826</v>
      </c>
    </row>
    <row r="32" spans="1:9">
      <c r="A32" s="101">
        <v>210049</v>
      </c>
      <c r="B32" s="102" t="s">
        <v>31</v>
      </c>
      <c r="C32" s="103">
        <f>VLOOKUP(A32,Revenue!$A$2:$C$47,3,0)</f>
        <v>148917095.66517001</v>
      </c>
      <c r="D32" s="265">
        <v>0.49499999999999994</v>
      </c>
      <c r="E32" s="296">
        <f t="shared" si="3"/>
        <v>4.030383144899622E-3</v>
      </c>
      <c r="F32" s="105">
        <f t="shared" si="0"/>
        <v>600192.95235630579</v>
      </c>
      <c r="G32" s="105">
        <f t="shared" si="1"/>
        <v>441456.22531752253</v>
      </c>
      <c r="H32" s="106">
        <f>'7Aggregate Summary'!$C$7- ((D32-$H$58)*('7Aggregate Summary'!$C$7/($H$57-$H$58)))</f>
        <v>2.6896508722327626E-3</v>
      </c>
      <c r="I32" s="267">
        <f t="shared" si="2"/>
        <v>400534.99624619429</v>
      </c>
    </row>
    <row r="33" spans="1:9">
      <c r="A33" s="101">
        <v>210043</v>
      </c>
      <c r="B33" s="102" t="s">
        <v>32</v>
      </c>
      <c r="C33" s="103">
        <f>VLOOKUP(A33,Revenue!$A$2:$C$47,3,0)</f>
        <v>223155125.99975017</v>
      </c>
      <c r="D33" s="265">
        <v>0.49500000000000005</v>
      </c>
      <c r="E33" s="296">
        <f t="shared" si="3"/>
        <v>4.0303831448996255E-3</v>
      </c>
      <c r="F33" s="105">
        <f t="shared" si="0"/>
        <v>899400.65852734528</v>
      </c>
      <c r="G33" s="105">
        <f t="shared" si="1"/>
        <v>661530.62644739065</v>
      </c>
      <c r="H33" s="106">
        <f>'7Aggregate Summary'!$C$7- ((D33-$H$58)*('7Aggregate Summary'!$C$7/($H$57-$H$58)))</f>
        <v>2.6896508722327669E-3</v>
      </c>
      <c r="I33" s="267">
        <f t="shared" si="2"/>
        <v>600209.37928844104</v>
      </c>
    </row>
    <row r="34" spans="1:9">
      <c r="A34" s="101">
        <v>210005</v>
      </c>
      <c r="B34" s="102" t="s">
        <v>33</v>
      </c>
      <c r="C34" s="103">
        <f>VLOOKUP(A34,Revenue!$A$2:$C$47,3,0)</f>
        <v>189480762.70820984</v>
      </c>
      <c r="D34" s="265">
        <v>0.5</v>
      </c>
      <c r="E34" s="296">
        <f t="shared" si="3"/>
        <v>4.3003874498984962E-3</v>
      </c>
      <c r="F34" s="105">
        <f t="shared" si="0"/>
        <v>814840.69394758064</v>
      </c>
      <c r="G34" s="105">
        <f t="shared" si="1"/>
        <v>599334.75655286119</v>
      </c>
      <c r="H34" s="106">
        <f>'7Aggregate Summary'!$C$7- ((D34-$H$58)*('7Aggregate Summary'!$C$7/($H$57-$H$58)))</f>
        <v>2.8698365489632349E-3</v>
      </c>
      <c r="I34" s="267">
        <f t="shared" si="2"/>
        <v>543778.81814545055</v>
      </c>
    </row>
    <row r="35" spans="1:9">
      <c r="A35" s="101">
        <v>210037</v>
      </c>
      <c r="B35" s="102" t="s">
        <v>34</v>
      </c>
      <c r="C35" s="103">
        <f>VLOOKUP(A35,Revenue!$A$2:$C$47,3,0)</f>
        <v>94828131.850859523</v>
      </c>
      <c r="D35" s="265">
        <v>0.50928400000000007</v>
      </c>
      <c r="E35" s="296">
        <f t="shared" si="3"/>
        <v>4.8017314434204046E-3</v>
      </c>
      <c r="F35" s="105">
        <f t="shared" si="0"/>
        <v>455339.22242908814</v>
      </c>
      <c r="G35" s="105">
        <f t="shared" si="1"/>
        <v>334912.85358050931</v>
      </c>
      <c r="H35" s="106">
        <f>'7Aggregate Summary'!$C$7- ((D35-$H$58)*('7Aggregate Summary'!$C$7/($H$57-$H$58)))</f>
        <v>3.204405313516373E-3</v>
      </c>
      <c r="I35" s="267">
        <f t="shared" si="2"/>
        <v>303867.76957372547</v>
      </c>
    </row>
    <row r="36" spans="1:9">
      <c r="A36" s="101">
        <v>210030</v>
      </c>
      <c r="B36" s="102" t="s">
        <v>35</v>
      </c>
      <c r="C36" s="103">
        <f>VLOOKUP(A36,Revenue!$A$2:$C$47,3,0)</f>
        <v>29416674.305924561</v>
      </c>
      <c r="D36" s="265">
        <v>0.53857199999999994</v>
      </c>
      <c r="E36" s="296">
        <f t="shared" si="3"/>
        <v>6.3833086603817916E-3</v>
      </c>
      <c r="F36" s="105">
        <f t="shared" si="0"/>
        <v>187775.71185663878</v>
      </c>
      <c r="G36" s="105">
        <f t="shared" si="1"/>
        <v>138113.51272470769</v>
      </c>
      <c r="H36" s="106">
        <f>'7Aggregate Summary'!$C$7- ((D36-$H$58)*('7Aggregate Summary'!$C$7/($H$57-$H$58)))</f>
        <v>4.2598609335327683E-3</v>
      </c>
      <c r="I36" s="267">
        <f t="shared" si="2"/>
        <v>125310.94167026519</v>
      </c>
    </row>
    <row r="37" spans="1:9">
      <c r="A37" s="101">
        <v>210051</v>
      </c>
      <c r="B37" s="102" t="s">
        <v>36</v>
      </c>
      <c r="C37" s="103">
        <f>VLOOKUP(A37,Revenue!$A$2:$C$47,3,0)</f>
        <v>136225390.68992713</v>
      </c>
      <c r="D37" s="265">
        <v>0.54</v>
      </c>
      <c r="E37" s="296">
        <f t="shared" si="3"/>
        <v>6.4604218898894755E-3</v>
      </c>
      <c r="F37" s="105">
        <f t="shared" si="0"/>
        <v>880073.49597195117</v>
      </c>
      <c r="G37" s="105">
        <f t="shared" si="1"/>
        <v>647315.03761998739</v>
      </c>
      <c r="H37" s="106">
        <f>'7Aggregate Summary'!$C$7- ((D37-$H$58)*('7Aggregate Summary'!$C$7/($H$57-$H$58)))</f>
        <v>4.3113219628069938E-3</v>
      </c>
      <c r="I37" s="267">
        <f t="shared" si="2"/>
        <v>587311.51877344621</v>
      </c>
    </row>
    <row r="38" spans="1:9">
      <c r="A38" s="101">
        <v>210027</v>
      </c>
      <c r="B38" s="102" t="s">
        <v>37</v>
      </c>
      <c r="C38" s="103">
        <f>VLOOKUP(A38,Revenue!$A$2:$C$47,3,0)</f>
        <v>184484265.97300443</v>
      </c>
      <c r="D38" s="265">
        <v>0.58928400000000003</v>
      </c>
      <c r="E38" s="296">
        <f t="shared" si="3"/>
        <v>9.1218003234023563E-3</v>
      </c>
      <c r="F38" s="105">
        <f t="shared" si="0"/>
        <v>1682828.6370151981</v>
      </c>
      <c r="G38" s="105">
        <f t="shared" si="1"/>
        <v>1237760.5818869052</v>
      </c>
      <c r="H38" s="106">
        <f>'7Aggregate Summary'!$C$7- ((D38-$H$58)*('7Aggregate Summary'!$C$7/($H$57-$H$58)))</f>
        <v>6.0873761412038874E-3</v>
      </c>
      <c r="I38" s="267">
        <f t="shared" si="2"/>
        <v>1123025.1191115794</v>
      </c>
    </row>
    <row r="39" spans="1:9">
      <c r="A39" s="101">
        <v>210008</v>
      </c>
      <c r="B39" s="102" t="s">
        <v>38</v>
      </c>
      <c r="C39" s="103">
        <f>VLOOKUP(A39,Revenue!$A$2:$C$47,3,0)</f>
        <v>233163593.66479388</v>
      </c>
      <c r="D39" s="265">
        <v>0.60899999999999999</v>
      </c>
      <c r="E39" s="296">
        <f>$E$3- ((D39-$D$3)*($E$3/($H$55-$D$3)))</f>
        <v>1.0186481298873905E-2</v>
      </c>
      <c r="F39" s="105">
        <f t="shared" si="0"/>
        <v>2375116.5864446573</v>
      </c>
      <c r="G39" s="105">
        <f t="shared" si="1"/>
        <v>1746954.8731362768</v>
      </c>
      <c r="H39" s="106">
        <f>'7Aggregate Summary'!$C$7- ((D39-$H$58)*('7Aggregate Summary'!$C$7/($H$57-$H$58)))</f>
        <v>6.7978843016874742E-3</v>
      </c>
      <c r="I39" s="100">
        <f t="shared" si="2"/>
        <v>1585019.1330989392</v>
      </c>
    </row>
    <row r="40" spans="1:9">
      <c r="A40" s="101">
        <v>210017</v>
      </c>
      <c r="B40" s="102" t="s">
        <v>39</v>
      </c>
      <c r="C40" s="103">
        <f>VLOOKUP(A40,Revenue!$A$2:$C$47,3,0)</f>
        <v>18724073.644907132</v>
      </c>
      <c r="D40" s="265">
        <v>0.61071600000000004</v>
      </c>
      <c r="E40" s="296">
        <f t="shared" si="3"/>
        <v>1.0279146776349522E-2</v>
      </c>
      <c r="F40" s="105">
        <f t="shared" si="0"/>
        <v>192467.50124717818</v>
      </c>
      <c r="G40" s="105">
        <f t="shared" si="1"/>
        <v>141564.43567573684</v>
      </c>
      <c r="H40" s="106">
        <f>'7Aggregate Summary'!$C$7- ((D40-$H$58)*('7Aggregate Summary'!$C$7/($H$57-$H$58)))</f>
        <v>6.8597240259413734E-3</v>
      </c>
      <c r="I40" s="100">
        <f t="shared" si="2"/>
        <v>128441.97784546511</v>
      </c>
    </row>
    <row r="41" spans="1:9">
      <c r="A41" s="101">
        <v>210023</v>
      </c>
      <c r="B41" s="102" t="s">
        <v>40</v>
      </c>
      <c r="C41" s="103">
        <f>VLOOKUP(A41,Revenue!$A$2:$C$47,3,0)</f>
        <v>310117074.81392145</v>
      </c>
      <c r="D41" s="265">
        <v>0.61499999999999999</v>
      </c>
      <c r="E41" s="296">
        <f t="shared" si="3"/>
        <v>1.0510486464872553E-2</v>
      </c>
      <c r="F41" s="105">
        <f t="shared" si="0"/>
        <v>3259481.3173575904</v>
      </c>
      <c r="G41" s="105">
        <f t="shared" si="1"/>
        <v>2397426.2163602524</v>
      </c>
      <c r="H41" s="106">
        <f>'7Aggregate Summary'!$C$7- ((D41-$H$58)*('7Aggregate Summary'!$C$7/($H$57-$H$58)))</f>
        <v>7.0141071137640384E-3</v>
      </c>
      <c r="I41" s="100">
        <f t="shared" si="2"/>
        <v>2175194.3805520209</v>
      </c>
    </row>
    <row r="42" spans="1:9">
      <c r="A42" s="101">
        <v>210006</v>
      </c>
      <c r="B42" s="102" t="s">
        <v>41</v>
      </c>
      <c r="C42" s="103">
        <f>VLOOKUP(A42,Revenue!$A$2:$C$47,3,0)</f>
        <v>47089618.293410309</v>
      </c>
      <c r="D42" s="265">
        <v>0.63214400000000004</v>
      </c>
      <c r="E42" s="296">
        <f t="shared" si="3"/>
        <v>1.1436277225852689E-2</v>
      </c>
      <c r="F42" s="105">
        <f t="shared" si="0"/>
        <v>538529.92926302447</v>
      </c>
      <c r="G42" s="105">
        <f t="shared" si="1"/>
        <v>396101.60175928538</v>
      </c>
      <c r="H42" s="106">
        <f>'7Aggregate Summary'!$C$7- ((D42-$H$58)*('7Aggregate Summary'!$C$7/($H$57-$H$58)))</f>
        <v>7.6319277621374748E-3</v>
      </c>
      <c r="I42" s="100">
        <f t="shared" si="2"/>
        <v>359384.56516193482</v>
      </c>
    </row>
    <row r="43" spans="1:9">
      <c r="A43" s="101">
        <v>210009</v>
      </c>
      <c r="B43" s="102" t="s">
        <v>42</v>
      </c>
      <c r="C43" s="103">
        <f>VLOOKUP(A43,Revenue!$A$2:$C$47,3,0)</f>
        <v>1292515919.3162181</v>
      </c>
      <c r="D43" s="265">
        <v>0.63357199999999991</v>
      </c>
      <c r="E43" s="296">
        <f t="shared" si="3"/>
        <v>1.1513390455360355E-2</v>
      </c>
      <c r="F43" s="105">
        <f t="shared" si="0"/>
        <v>14881240.448856661</v>
      </c>
      <c r="G43" s="105">
        <f t="shared" si="1"/>
        <v>10945507.125339832</v>
      </c>
      <c r="H43" s="106">
        <f>'7Aggregate Summary'!$C$7- ((D43-$H$58)*('7Aggregate Summary'!$C$7/($H$57-$H$58)))</f>
        <v>7.6833887914116925E-3</v>
      </c>
      <c r="I43" s="100">
        <f t="shared" si="2"/>
        <v>9930902.3271954097</v>
      </c>
    </row>
    <row r="44" spans="1:9">
      <c r="A44" s="101">
        <v>210010</v>
      </c>
      <c r="B44" s="102" t="s">
        <v>43</v>
      </c>
      <c r="C44" s="107">
        <f>VLOOKUP(A44,Revenue!$A$2:$C$47,3,0)</f>
        <v>25127934.983499374</v>
      </c>
      <c r="D44" s="265">
        <v>0.64666800000000002</v>
      </c>
      <c r="E44" s="296">
        <f t="shared" si="3"/>
        <v>1.2220585731013412E-2</v>
      </c>
      <c r="F44" s="108">
        <f t="shared" si="0"/>
        <v>307078.08370918519</v>
      </c>
      <c r="G44" s="108">
        <f t="shared" si="1"/>
        <v>225863.25144237734</v>
      </c>
      <c r="H44" s="106">
        <f>'7Aggregate Summary'!$C$7- ((D44-$H$58)*('7Aggregate Summary'!$C$7/($H$57-$H$58)))</f>
        <v>8.1553311159041422E-3</v>
      </c>
      <c r="I44" s="100">
        <f t="shared" si="2"/>
        <v>204926.63004934869</v>
      </c>
    </row>
    <row r="45" spans="1:9" ht="21" customHeight="1" thickBot="1">
      <c r="A45" s="109">
        <v>210028</v>
      </c>
      <c r="B45" s="110" t="s">
        <v>44</v>
      </c>
      <c r="C45" s="111">
        <f>VLOOKUP(A45,Revenue!$A$2:$C$47,3,0)</f>
        <v>69520305.288439929</v>
      </c>
      <c r="D45" s="266">
        <v>0.69785600000000003</v>
      </c>
      <c r="E45" s="297">
        <f>$E$3- ((D45-$D$3)*($E$3/($H$55-$D$3)))</f>
        <v>1.4984781803869866E-2</v>
      </c>
      <c r="F45" s="112">
        <f t="shared" si="0"/>
        <v>1041746.6056856926</v>
      </c>
      <c r="G45" s="112">
        <f t="shared" si="1"/>
        <v>766229.46417127433</v>
      </c>
      <c r="H45" s="106">
        <f>'7Aggregate Summary'!$C$7- ((D45-$H$58)*('7Aggregate Summary'!$C$7/($H$57-$H$58)))</f>
        <v>0.01</v>
      </c>
      <c r="I45" s="100">
        <f t="shared" si="2"/>
        <v>695203.05288439931</v>
      </c>
    </row>
    <row r="46" spans="1:9" ht="25.2" customHeight="1" thickBot="1">
      <c r="A46" s="113"/>
      <c r="B46" s="114" t="s">
        <v>45</v>
      </c>
      <c r="C46" s="115">
        <f>SUM(C3:C45)</f>
        <v>8671856840.4071598</v>
      </c>
      <c r="D46" s="91"/>
      <c r="E46" s="298"/>
      <c r="F46" s="116">
        <f>SUM(F3:F45)</f>
        <v>8686893.3684823513</v>
      </c>
      <c r="G46" s="117">
        <f>SUM(G3:G45)</f>
        <v>-5.9371814131736755E-9</v>
      </c>
      <c r="H46" s="245"/>
      <c r="I46" s="246">
        <f>SUM(I3:I45)</f>
        <v>-2239420.9587237812</v>
      </c>
    </row>
    <row r="47" spans="1:9" ht="16.2" thickBot="1">
      <c r="A47" s="19"/>
      <c r="B47" s="20"/>
      <c r="C47" s="21"/>
      <c r="D47" s="22"/>
      <c r="E47" s="22"/>
      <c r="F47" s="23"/>
      <c r="G47" s="24"/>
    </row>
    <row r="48" spans="1:9" ht="16.2" thickBot="1">
      <c r="A48" s="12"/>
      <c r="B48" s="12"/>
      <c r="C48" s="15"/>
      <c r="D48" s="13"/>
      <c r="E48" s="18" t="s">
        <v>102</v>
      </c>
      <c r="F48" s="17">
        <f>SUMIF(F3:F45,"&lt;0")</f>
        <v>-24158764.185991321</v>
      </c>
      <c r="I48" s="17">
        <f>SUMIF(I3:I45,"&lt;0")</f>
        <v>-24158764.185991321</v>
      </c>
    </row>
    <row r="49" spans="1:9">
      <c r="A49" s="12"/>
      <c r="B49" s="12"/>
      <c r="E49" s="22"/>
      <c r="F49" s="83">
        <f>F48/$C$46</f>
        <v>-2.7858813435920398E-3</v>
      </c>
      <c r="I49" s="83">
        <f>I48/$C$46</f>
        <v>-2.7858813435920398E-3</v>
      </c>
    </row>
    <row r="50" spans="1:9">
      <c r="A50" s="12"/>
      <c r="B50" s="12"/>
      <c r="E50" s="16" t="s">
        <v>101</v>
      </c>
      <c r="F50" s="14">
        <f>SUMIF(F3:F45,"&gt;0")</f>
        <v>32845657.554473672</v>
      </c>
      <c r="I50" s="14">
        <f>SUMIF(I3:I45,"&gt;0")</f>
        <v>21919343.227267541</v>
      </c>
    </row>
    <row r="51" spans="1:9">
      <c r="A51" s="12"/>
      <c r="B51" s="12"/>
      <c r="E51" s="13"/>
      <c r="F51" s="84">
        <f>F50/$C$46</f>
        <v>3.7876152891992976E-3</v>
      </c>
      <c r="I51" s="84">
        <f>I50/$C$46</f>
        <v>2.5276412688379191E-3</v>
      </c>
    </row>
    <row r="52" spans="1:9">
      <c r="A52" s="12"/>
      <c r="B52" s="12"/>
      <c r="C52" s="12"/>
      <c r="D52" s="13"/>
      <c r="E52" s="13" t="s">
        <v>171</v>
      </c>
      <c r="F52" s="25">
        <f>ABS(F48/F50)</f>
        <v>0.73552384043232</v>
      </c>
    </row>
    <row r="53" spans="1:9">
      <c r="A53" s="12"/>
      <c r="B53" s="12"/>
      <c r="C53" s="12"/>
      <c r="D53" s="13"/>
      <c r="E53" s="13"/>
      <c r="F53" s="14"/>
      <c r="G53" s="12"/>
    </row>
    <row r="54" spans="1:9">
      <c r="A54" s="12"/>
      <c r="B54" s="12"/>
      <c r="C54" s="12"/>
      <c r="D54" s="13"/>
      <c r="E54" s="13"/>
      <c r="F54" s="12"/>
      <c r="G54" s="12" t="s">
        <v>172</v>
      </c>
    </row>
    <row r="55" spans="1:9">
      <c r="A55" s="12"/>
      <c r="B55" s="12"/>
      <c r="C55" s="12"/>
      <c r="D55" s="13"/>
      <c r="E55" s="13"/>
      <c r="F55" s="14"/>
      <c r="G55" s="12" t="s">
        <v>150</v>
      </c>
      <c r="H55" s="92">
        <f>AVERAGE(D3:D45)</f>
        <v>0.42036446511627917</v>
      </c>
    </row>
    <row r="56" spans="1:9">
      <c r="A56" s="12"/>
      <c r="B56" s="12"/>
      <c r="C56" s="12"/>
      <c r="D56" s="13"/>
      <c r="E56" s="13"/>
      <c r="F56" s="12"/>
      <c r="G56" s="12" t="s">
        <v>169</v>
      </c>
      <c r="H56" s="92">
        <f>D3</f>
        <v>4.9999999999999996E-2</v>
      </c>
    </row>
    <row r="57" spans="1:9">
      <c r="A57" s="12"/>
      <c r="B57" s="12"/>
      <c r="C57" s="12"/>
      <c r="D57" s="13"/>
      <c r="E57" s="13"/>
      <c r="F57" s="12"/>
      <c r="G57" s="12" t="s">
        <v>168</v>
      </c>
      <c r="H57" s="92">
        <f>H55</f>
        <v>0.42036446511627917</v>
      </c>
    </row>
    <row r="58" spans="1:9" ht="16.2" thickBot="1">
      <c r="A58" s="12"/>
      <c r="B58" s="12"/>
      <c r="C58" s="12"/>
      <c r="D58" s="13"/>
      <c r="E58" s="13"/>
      <c r="F58" s="12"/>
      <c r="G58" s="12" t="s">
        <v>170</v>
      </c>
      <c r="H58" s="118">
        <f>D45</f>
        <v>0.69785600000000003</v>
      </c>
    </row>
    <row r="59" spans="1:9">
      <c r="A59" s="12"/>
      <c r="B59" s="12"/>
      <c r="C59" s="12"/>
      <c r="D59" s="13"/>
      <c r="E59" s="13"/>
      <c r="F59" s="12"/>
      <c r="G59" s="12"/>
    </row>
    <row r="60" spans="1:9">
      <c r="A60" s="12"/>
      <c r="B60" s="12"/>
      <c r="C60" s="12"/>
      <c r="D60" s="13"/>
      <c r="E60" s="13"/>
      <c r="F60" s="12"/>
      <c r="G60" s="12"/>
    </row>
    <row r="61" spans="1:9">
      <c r="A61" s="12"/>
      <c r="B61" s="12"/>
      <c r="C61" s="12"/>
      <c r="D61" s="13"/>
      <c r="E61" s="13"/>
      <c r="F61" s="12"/>
      <c r="G61" s="12"/>
    </row>
    <row r="62" spans="1:9">
      <c r="A62" s="12"/>
      <c r="B62" s="12"/>
      <c r="C62" s="12"/>
      <c r="D62" s="13"/>
      <c r="E62" s="13"/>
      <c r="F62" s="12"/>
      <c r="G62" s="12"/>
    </row>
    <row r="63" spans="1:9">
      <c r="A63" s="12"/>
      <c r="B63" s="12"/>
      <c r="C63" s="12"/>
      <c r="D63" s="13"/>
      <c r="E63" s="13"/>
      <c r="F63" s="12"/>
      <c r="G63" s="12"/>
    </row>
    <row r="64" spans="1:9">
      <c r="A64" s="12"/>
      <c r="B64" s="12"/>
      <c r="C64" s="12"/>
      <c r="D64" s="13"/>
      <c r="E64" s="13"/>
      <c r="F64" s="12"/>
      <c r="G64" s="12"/>
    </row>
    <row r="65" spans="1:7">
      <c r="A65" s="12"/>
      <c r="B65" s="12"/>
      <c r="C65" s="12"/>
      <c r="D65" s="13"/>
      <c r="E65" s="13"/>
      <c r="F65" s="12"/>
      <c r="G65" s="12"/>
    </row>
    <row r="66" spans="1:7">
      <c r="A66" s="12"/>
      <c r="B66" s="12"/>
      <c r="C66" s="12"/>
      <c r="D66" s="13"/>
      <c r="E66" s="13"/>
      <c r="F66" s="12"/>
      <c r="G66" s="12"/>
    </row>
    <row r="67" spans="1:7">
      <c r="A67" s="12"/>
      <c r="B67" s="12"/>
      <c r="C67" s="12"/>
      <c r="D67" s="13"/>
      <c r="E67" s="13"/>
      <c r="F67" s="12"/>
      <c r="G67" s="12"/>
    </row>
    <row r="68" spans="1:7">
      <c r="A68" s="12"/>
      <c r="B68" s="12"/>
      <c r="C68" s="12"/>
      <c r="D68" s="13"/>
      <c r="E68" s="13"/>
      <c r="F68" s="12"/>
      <c r="G68" s="12"/>
    </row>
    <row r="69" spans="1:7">
      <c r="A69" s="12"/>
      <c r="B69" s="12"/>
      <c r="C69" s="12"/>
      <c r="D69" s="13"/>
      <c r="E69" s="13"/>
      <c r="F69" s="12"/>
      <c r="G69" s="12"/>
    </row>
    <row r="70" spans="1:7">
      <c r="A70" s="12"/>
      <c r="B70" s="12"/>
      <c r="C70" s="12"/>
      <c r="D70" s="13"/>
      <c r="E70" s="13"/>
      <c r="F70" s="12"/>
      <c r="G70" s="12"/>
    </row>
    <row r="71" spans="1:7">
      <c r="A71" s="12"/>
      <c r="B71" s="12"/>
      <c r="C71" s="12"/>
      <c r="D71" s="13"/>
      <c r="E71" s="13"/>
      <c r="F71" s="12"/>
      <c r="G71" s="12"/>
    </row>
    <row r="72" spans="1:7">
      <c r="A72" s="12"/>
      <c r="B72" s="12"/>
      <c r="C72" s="12"/>
      <c r="D72" s="13"/>
      <c r="E72" s="13"/>
      <c r="F72" s="12"/>
      <c r="G72" s="12"/>
    </row>
    <row r="73" spans="1:7">
      <c r="A73" s="12"/>
      <c r="B73" s="12"/>
      <c r="C73" s="12"/>
      <c r="D73" s="13"/>
      <c r="E73" s="13"/>
      <c r="F73" s="12"/>
      <c r="G73" s="12"/>
    </row>
    <row r="74" spans="1:7">
      <c r="A74" s="12"/>
      <c r="B74" s="12"/>
      <c r="C74" s="12"/>
      <c r="D74" s="13"/>
      <c r="E74" s="13"/>
      <c r="F74" s="12"/>
      <c r="G74" s="12"/>
    </row>
    <row r="75" spans="1:7">
      <c r="A75" s="12"/>
      <c r="B75" s="12"/>
      <c r="C75" s="12"/>
      <c r="D75" s="13"/>
      <c r="E75" s="13"/>
      <c r="F75" s="12"/>
      <c r="G75" s="12"/>
    </row>
    <row r="76" spans="1:7">
      <c r="A76" s="12"/>
      <c r="B76" s="12"/>
      <c r="C76" s="12"/>
      <c r="D76" s="13"/>
      <c r="E76" s="13"/>
      <c r="F76" s="12"/>
      <c r="G76" s="12"/>
    </row>
    <row r="77" spans="1:7">
      <c r="A77" s="12"/>
      <c r="B77" s="12"/>
      <c r="C77" s="12"/>
      <c r="D77" s="13"/>
      <c r="E77" s="13"/>
      <c r="F77" s="12"/>
      <c r="G77" s="12"/>
    </row>
    <row r="78" spans="1:7">
      <c r="A78" s="12"/>
      <c r="B78" s="12"/>
      <c r="C78" s="12"/>
      <c r="D78" s="13"/>
      <c r="E78" s="13"/>
      <c r="F78" s="12"/>
      <c r="G78" s="12"/>
    </row>
    <row r="79" spans="1:7">
      <c r="A79" s="12"/>
      <c r="B79" s="12"/>
      <c r="C79" s="12"/>
      <c r="D79" s="13"/>
      <c r="E79" s="13"/>
      <c r="F79" s="12"/>
      <c r="G79" s="12"/>
    </row>
    <row r="80" spans="1:7">
      <c r="A80" s="12"/>
      <c r="B80" s="12"/>
      <c r="C80" s="12"/>
      <c r="D80" s="13"/>
      <c r="E80" s="13"/>
      <c r="F80" s="12"/>
      <c r="G80" s="12"/>
    </row>
    <row r="81" spans="1:7">
      <c r="A81" s="12"/>
      <c r="B81" s="12"/>
      <c r="C81" s="12"/>
      <c r="D81" s="13"/>
      <c r="E81" s="13"/>
      <c r="F81" s="12"/>
      <c r="G81" s="12"/>
    </row>
    <row r="82" spans="1:7">
      <c r="A82" s="12"/>
      <c r="B82" s="12"/>
      <c r="C82" s="12"/>
      <c r="D82" s="13"/>
      <c r="E82" s="13"/>
      <c r="F82" s="12"/>
      <c r="G82" s="12"/>
    </row>
    <row r="83" spans="1:7">
      <c r="A83" s="12"/>
      <c r="B83" s="12"/>
      <c r="C83" s="12"/>
      <c r="D83" s="13"/>
      <c r="E83" s="13"/>
      <c r="F83" s="12"/>
      <c r="G83" s="12"/>
    </row>
    <row r="84" spans="1:7">
      <c r="A84" s="12"/>
      <c r="B84" s="12"/>
      <c r="C84" s="12"/>
      <c r="D84" s="13"/>
      <c r="E84" s="13"/>
      <c r="F84" s="12"/>
      <c r="G84" s="12"/>
    </row>
    <row r="85" spans="1:7">
      <c r="A85" s="12"/>
      <c r="B85" s="12"/>
      <c r="C85" s="12"/>
      <c r="D85" s="13"/>
      <c r="E85" s="13"/>
      <c r="F85" s="12"/>
      <c r="G85" s="12"/>
    </row>
    <row r="86" spans="1:7">
      <c r="A86" s="12"/>
      <c r="B86" s="12"/>
      <c r="C86" s="12"/>
      <c r="D86" s="13"/>
      <c r="E86" s="13"/>
      <c r="F86" s="12"/>
      <c r="G86" s="12"/>
    </row>
    <row r="87" spans="1:7">
      <c r="A87" s="12"/>
      <c r="B87" s="12"/>
      <c r="C87" s="12"/>
      <c r="D87" s="13"/>
      <c r="E87" s="13"/>
      <c r="F87" s="12"/>
      <c r="G87" s="12"/>
    </row>
    <row r="88" spans="1:7">
      <c r="A88" s="12"/>
      <c r="B88" s="12"/>
      <c r="C88" s="12"/>
      <c r="D88" s="13"/>
      <c r="E88" s="13"/>
      <c r="F88" s="12"/>
      <c r="G88" s="12"/>
    </row>
    <row r="89" spans="1:7">
      <c r="A89" s="12"/>
      <c r="B89" s="12"/>
      <c r="C89" s="12"/>
      <c r="D89" s="13"/>
      <c r="E89" s="13"/>
      <c r="F89" s="12"/>
      <c r="G89" s="12"/>
    </row>
    <row r="90" spans="1:7">
      <c r="A90" s="12"/>
      <c r="B90" s="12"/>
      <c r="C90" s="12"/>
      <c r="D90" s="13"/>
      <c r="E90" s="13"/>
      <c r="F90" s="12"/>
      <c r="G90" s="12"/>
    </row>
    <row r="91" spans="1:7">
      <c r="A91" s="12"/>
      <c r="B91" s="12"/>
      <c r="C91" s="12"/>
      <c r="D91" s="13"/>
      <c r="E91" s="13"/>
      <c r="F91" s="12"/>
      <c r="G91" s="12"/>
    </row>
    <row r="92" spans="1:7">
      <c r="A92" s="12"/>
      <c r="B92" s="12"/>
      <c r="C92" s="12"/>
      <c r="D92" s="13"/>
      <c r="E92" s="13"/>
      <c r="F92" s="12"/>
      <c r="G92" s="12"/>
    </row>
    <row r="93" spans="1:7">
      <c r="A93" s="12"/>
      <c r="B93" s="12"/>
      <c r="C93" s="12"/>
      <c r="D93" s="13"/>
      <c r="E93" s="13"/>
      <c r="F93" s="12"/>
      <c r="G93" s="12"/>
    </row>
    <row r="94" spans="1:7">
      <c r="A94" s="12"/>
      <c r="B94" s="12"/>
      <c r="C94" s="12"/>
      <c r="D94" s="13"/>
      <c r="E94" s="13"/>
      <c r="F94" s="12"/>
      <c r="G94" s="12"/>
    </row>
    <row r="95" spans="1:7">
      <c r="A95" s="12"/>
      <c r="B95" s="12"/>
      <c r="C95" s="12"/>
      <c r="D95" s="13"/>
      <c r="E95" s="13"/>
      <c r="F95" s="12"/>
      <c r="G95" s="12"/>
    </row>
    <row r="96" spans="1:7">
      <c r="A96" s="12"/>
      <c r="B96" s="12"/>
      <c r="C96" s="12"/>
      <c r="D96" s="13"/>
      <c r="E96" s="13"/>
      <c r="F96" s="12"/>
      <c r="G96" s="12"/>
    </row>
    <row r="97" spans="1:7">
      <c r="A97" s="12"/>
      <c r="B97" s="12"/>
      <c r="C97" s="12"/>
      <c r="D97" s="13"/>
      <c r="E97" s="13"/>
      <c r="F97" s="12"/>
      <c r="G97" s="12"/>
    </row>
    <row r="98" spans="1:7">
      <c r="A98" s="12"/>
      <c r="B98" s="12"/>
      <c r="C98" s="12"/>
      <c r="D98" s="13"/>
      <c r="E98" s="13"/>
      <c r="F98" s="12"/>
      <c r="G98" s="12"/>
    </row>
    <row r="99" spans="1:7">
      <c r="A99" s="12"/>
      <c r="B99" s="12"/>
      <c r="C99" s="12"/>
      <c r="D99" s="13"/>
      <c r="E99" s="13"/>
      <c r="F99" s="12"/>
      <c r="G99" s="12"/>
    </row>
    <row r="100" spans="1:7">
      <c r="A100" s="12"/>
      <c r="B100" s="12"/>
      <c r="C100" s="12"/>
      <c r="D100" s="13"/>
      <c r="E100" s="13"/>
      <c r="F100" s="12"/>
      <c r="G100" s="12"/>
    </row>
    <row r="101" spans="1:7">
      <c r="A101" s="12"/>
      <c r="B101" s="12"/>
      <c r="C101" s="12"/>
      <c r="D101" s="13"/>
      <c r="E101" s="13"/>
      <c r="F101" s="12"/>
      <c r="G101" s="12"/>
    </row>
    <row r="102" spans="1:7">
      <c r="A102" s="12"/>
      <c r="B102" s="12"/>
      <c r="C102" s="12"/>
      <c r="D102" s="13"/>
      <c r="E102" s="13"/>
      <c r="F102" s="12"/>
      <c r="G102" s="12"/>
    </row>
    <row r="103" spans="1:7">
      <c r="A103" s="12"/>
      <c r="B103" s="12"/>
      <c r="C103" s="12"/>
      <c r="D103" s="13"/>
      <c r="E103" s="13"/>
      <c r="F103" s="12"/>
      <c r="G103" s="12"/>
    </row>
    <row r="104" spans="1:7">
      <c r="D104" s="13"/>
      <c r="E104" s="13"/>
      <c r="F104" s="12"/>
    </row>
  </sheetData>
  <pageMargins left="0.7" right="0.7" top="0.75" bottom="0.75" header="0.3" footer="0.3"/>
  <pageSetup scale="48" orientation="portrait" r:id="rId1"/>
  <headerFooter>
    <oddFooter>&amp;CHSCRC Work Group Meeting
Feb 2, 2015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2"/>
  <sheetViews>
    <sheetView tabSelected="1" workbookViewId="0">
      <selection activeCell="E15" sqref="E15"/>
    </sheetView>
  </sheetViews>
  <sheetFormatPr defaultColWidth="9.109375" defaultRowHeight="14.4"/>
  <cols>
    <col min="1" max="1" width="14.6640625" style="36" customWidth="1"/>
    <col min="2" max="2" width="12" style="37" customWidth="1"/>
    <col min="3" max="3" width="17.33203125" style="37" customWidth="1"/>
    <col min="4" max="4" width="17" style="37" customWidth="1"/>
    <col min="5" max="256" width="9.109375" style="36"/>
    <col min="257" max="16384" width="9.109375" style="11"/>
  </cols>
  <sheetData>
    <row r="1" spans="1:4">
      <c r="A1" s="47" t="s">
        <v>246</v>
      </c>
    </row>
    <row r="2" spans="1:4">
      <c r="A2" s="348"/>
      <c r="B2" s="348"/>
      <c r="C2" s="348"/>
      <c r="D2" s="348"/>
    </row>
    <row r="3" spans="1:4" ht="28.8">
      <c r="A3" s="349" t="s">
        <v>130</v>
      </c>
      <c r="B3" s="350"/>
      <c r="C3" s="46" t="s">
        <v>129</v>
      </c>
      <c r="D3" s="46" t="s">
        <v>128</v>
      </c>
    </row>
    <row r="4" spans="1:4" ht="28.8">
      <c r="A4" s="41" t="s">
        <v>127</v>
      </c>
      <c r="B4" s="40">
        <v>0.17</v>
      </c>
      <c r="C4" s="45">
        <f>-'7Aggregate Summary'!E16</f>
        <v>-0.03</v>
      </c>
      <c r="D4" s="45">
        <f>'7Aggregate Summary'!B5</f>
        <v>-0.01</v>
      </c>
    </row>
    <row r="5" spans="1:4" hidden="1">
      <c r="A5" s="44"/>
      <c r="B5" s="43">
        <f t="shared" ref="B5:B36" si="0">B4+0.01</f>
        <v>0.18000000000000002</v>
      </c>
      <c r="C5" s="42">
        <f t="shared" ref="C5:C38" si="1">$C$4- ((B5-$B$4)*($C$4/($C$69-$B$4)))</f>
        <v>-2.9117647058823526E-2</v>
      </c>
      <c r="D5" s="42">
        <f t="shared" ref="D5:D33" si="2">$D$4- ((B5-$B$4)*($D$4/($D$69-$B$4)))</f>
        <v>-9.655172413793104E-3</v>
      </c>
    </row>
    <row r="6" spans="1:4" hidden="1">
      <c r="A6" s="44"/>
      <c r="B6" s="43">
        <f t="shared" si="0"/>
        <v>0.19000000000000003</v>
      </c>
      <c r="C6" s="42">
        <f t="shared" si="1"/>
        <v>-2.8235294117647056E-2</v>
      </c>
      <c r="D6" s="42">
        <f t="shared" si="2"/>
        <v>-9.3103448275862061E-3</v>
      </c>
    </row>
    <row r="7" spans="1:4">
      <c r="A7" s="44"/>
      <c r="B7" s="43">
        <f t="shared" si="0"/>
        <v>0.20000000000000004</v>
      </c>
      <c r="C7" s="42">
        <f t="shared" si="1"/>
        <v>-2.7352941176470583E-2</v>
      </c>
      <c r="D7" s="42">
        <f t="shared" si="2"/>
        <v>-8.9655172413793099E-3</v>
      </c>
    </row>
    <row r="8" spans="1:4" hidden="1">
      <c r="A8" s="44"/>
      <c r="B8" s="43">
        <f t="shared" si="0"/>
        <v>0.21000000000000005</v>
      </c>
      <c r="C8" s="42">
        <f t="shared" si="1"/>
        <v>-2.6470588235294114E-2</v>
      </c>
      <c r="D8" s="42">
        <f t="shared" si="2"/>
        <v>-8.6206896551724137E-3</v>
      </c>
    </row>
    <row r="9" spans="1:4" hidden="1">
      <c r="A9" s="44"/>
      <c r="B9" s="43">
        <f t="shared" si="0"/>
        <v>0.22000000000000006</v>
      </c>
      <c r="C9" s="42">
        <f t="shared" si="1"/>
        <v>-2.5588235294117641E-2</v>
      </c>
      <c r="D9" s="42">
        <f t="shared" si="2"/>
        <v>-8.2758620689655157E-3</v>
      </c>
    </row>
    <row r="10" spans="1:4" hidden="1">
      <c r="A10" s="44"/>
      <c r="B10" s="43">
        <f t="shared" si="0"/>
        <v>0.23000000000000007</v>
      </c>
      <c r="C10" s="42">
        <f t="shared" si="1"/>
        <v>-2.4705882352941171E-2</v>
      </c>
      <c r="D10" s="42">
        <f t="shared" si="2"/>
        <v>-7.9310344827586195E-3</v>
      </c>
    </row>
    <row r="11" spans="1:4" hidden="1">
      <c r="A11" s="44"/>
      <c r="B11" s="43">
        <f t="shared" si="0"/>
        <v>0.24000000000000007</v>
      </c>
      <c r="C11" s="42">
        <f t="shared" si="1"/>
        <v>-2.3823529411764698E-2</v>
      </c>
      <c r="D11" s="42">
        <f t="shared" si="2"/>
        <v>-7.5862068965517216E-3</v>
      </c>
    </row>
    <row r="12" spans="1:4" hidden="1">
      <c r="A12" s="44"/>
      <c r="B12" s="43">
        <f t="shared" si="0"/>
        <v>0.25000000000000006</v>
      </c>
      <c r="C12" s="42">
        <f t="shared" si="1"/>
        <v>-2.2941176470588229E-2</v>
      </c>
      <c r="D12" s="42">
        <f t="shared" si="2"/>
        <v>-7.2413793103448263E-3</v>
      </c>
    </row>
    <row r="13" spans="1:4" hidden="1">
      <c r="A13" s="44"/>
      <c r="B13" s="43">
        <f t="shared" si="0"/>
        <v>0.26000000000000006</v>
      </c>
      <c r="C13" s="42">
        <f t="shared" si="1"/>
        <v>-2.2058823529411759E-2</v>
      </c>
      <c r="D13" s="42">
        <f t="shared" si="2"/>
        <v>-6.8965517241379292E-3</v>
      </c>
    </row>
    <row r="14" spans="1:4" hidden="1">
      <c r="A14" s="44"/>
      <c r="B14" s="43">
        <f t="shared" si="0"/>
        <v>0.27000000000000007</v>
      </c>
      <c r="C14" s="42">
        <f t="shared" si="1"/>
        <v>-2.1176470588235286E-2</v>
      </c>
      <c r="D14" s="42">
        <f t="shared" si="2"/>
        <v>-6.551724137931033E-3</v>
      </c>
    </row>
    <row r="15" spans="1:4" hidden="1">
      <c r="A15" s="44"/>
      <c r="B15" s="43">
        <f t="shared" si="0"/>
        <v>0.28000000000000008</v>
      </c>
      <c r="C15" s="42">
        <f t="shared" si="1"/>
        <v>-2.0294117647058817E-2</v>
      </c>
      <c r="D15" s="42">
        <f t="shared" si="2"/>
        <v>-6.2068965517241359E-3</v>
      </c>
    </row>
    <row r="16" spans="1:4" hidden="1">
      <c r="A16" s="44"/>
      <c r="B16" s="43">
        <f t="shared" si="0"/>
        <v>0.29000000000000009</v>
      </c>
      <c r="C16" s="42">
        <f t="shared" si="1"/>
        <v>-1.9411764705882344E-2</v>
      </c>
      <c r="D16" s="42">
        <f t="shared" si="2"/>
        <v>-5.8620689655172389E-3</v>
      </c>
    </row>
    <row r="17" spans="1:4">
      <c r="A17" s="44"/>
      <c r="B17" s="43">
        <f t="shared" si="0"/>
        <v>0.3000000000000001</v>
      </c>
      <c r="C17" s="42">
        <f t="shared" si="1"/>
        <v>-1.8529411764705871E-2</v>
      </c>
      <c r="D17" s="42">
        <f t="shared" si="2"/>
        <v>-5.5172413793103418E-3</v>
      </c>
    </row>
    <row r="18" spans="1:4" hidden="1">
      <c r="A18" s="44"/>
      <c r="B18" s="43">
        <f t="shared" si="0"/>
        <v>0.31000000000000011</v>
      </c>
      <c r="C18" s="42">
        <f t="shared" si="1"/>
        <v>-1.7647058823529401E-2</v>
      </c>
      <c r="D18" s="42">
        <f t="shared" si="2"/>
        <v>-5.1724137931034456E-3</v>
      </c>
    </row>
    <row r="19" spans="1:4" hidden="1">
      <c r="A19" s="44"/>
      <c r="B19" s="43">
        <f t="shared" si="0"/>
        <v>0.32000000000000012</v>
      </c>
      <c r="C19" s="42">
        <f t="shared" si="1"/>
        <v>-1.6764705882352932E-2</v>
      </c>
      <c r="D19" s="42">
        <f t="shared" si="2"/>
        <v>-4.8275862068965485E-3</v>
      </c>
    </row>
    <row r="20" spans="1:4" hidden="1">
      <c r="A20" s="44"/>
      <c r="B20" s="43">
        <f t="shared" si="0"/>
        <v>0.33000000000000013</v>
      </c>
      <c r="C20" s="42">
        <f t="shared" si="1"/>
        <v>-1.5882352941176459E-2</v>
      </c>
      <c r="D20" s="42">
        <f t="shared" si="2"/>
        <v>-4.4827586206896515E-3</v>
      </c>
    </row>
    <row r="21" spans="1:4" hidden="1">
      <c r="A21" s="44"/>
      <c r="B21" s="43">
        <f t="shared" si="0"/>
        <v>0.34000000000000014</v>
      </c>
      <c r="C21" s="42">
        <f t="shared" si="1"/>
        <v>-1.4999999999999987E-2</v>
      </c>
      <c r="D21" s="42">
        <f t="shared" si="2"/>
        <v>-4.1379310344827544E-3</v>
      </c>
    </row>
    <row r="22" spans="1:4" hidden="1">
      <c r="A22" s="44"/>
      <c r="B22" s="43">
        <f t="shared" si="0"/>
        <v>0.35000000000000014</v>
      </c>
      <c r="C22" s="42">
        <f t="shared" si="1"/>
        <v>-1.4117647058823516E-2</v>
      </c>
      <c r="D22" s="42">
        <f t="shared" si="2"/>
        <v>-3.7931034482758582E-3</v>
      </c>
    </row>
    <row r="23" spans="1:4" hidden="1">
      <c r="A23" s="44"/>
      <c r="B23" s="43">
        <f t="shared" si="0"/>
        <v>0.36000000000000015</v>
      </c>
      <c r="C23" s="42">
        <f t="shared" si="1"/>
        <v>-1.3235294117647043E-2</v>
      </c>
      <c r="D23" s="42">
        <f t="shared" si="2"/>
        <v>-3.4482758620689611E-3</v>
      </c>
    </row>
    <row r="24" spans="1:4" hidden="1">
      <c r="A24" s="44"/>
      <c r="B24" s="43">
        <f t="shared" si="0"/>
        <v>0.37000000000000016</v>
      </c>
      <c r="C24" s="42">
        <f t="shared" si="1"/>
        <v>-1.2352941176470573E-2</v>
      </c>
      <c r="D24" s="42">
        <f t="shared" si="2"/>
        <v>-3.1034482758620641E-3</v>
      </c>
    </row>
    <row r="25" spans="1:4" hidden="1">
      <c r="A25" s="44"/>
      <c r="B25" s="43">
        <f t="shared" si="0"/>
        <v>0.38000000000000017</v>
      </c>
      <c r="C25" s="42">
        <f t="shared" si="1"/>
        <v>-1.14705882352941E-2</v>
      </c>
      <c r="D25" s="42">
        <f t="shared" si="2"/>
        <v>-2.758620689655167E-3</v>
      </c>
    </row>
    <row r="26" spans="1:4" hidden="1">
      <c r="A26" s="44"/>
      <c r="B26" s="43">
        <f t="shared" si="0"/>
        <v>0.39000000000000018</v>
      </c>
      <c r="C26" s="42">
        <f t="shared" si="1"/>
        <v>-1.0588235294117631E-2</v>
      </c>
      <c r="D26" s="42">
        <f t="shared" si="2"/>
        <v>-2.4137931034482708E-3</v>
      </c>
    </row>
    <row r="27" spans="1:4">
      <c r="A27" s="44"/>
      <c r="B27" s="43">
        <f t="shared" si="0"/>
        <v>0.40000000000000019</v>
      </c>
      <c r="C27" s="42">
        <f t="shared" si="1"/>
        <v>-9.7058823529411579E-3</v>
      </c>
      <c r="D27" s="42">
        <f t="shared" si="2"/>
        <v>-2.0689655172413737E-3</v>
      </c>
    </row>
    <row r="28" spans="1:4" hidden="1">
      <c r="A28" s="44"/>
      <c r="B28" s="43">
        <f t="shared" si="0"/>
        <v>0.4100000000000002</v>
      </c>
      <c r="C28" s="42">
        <f t="shared" si="1"/>
        <v>-8.8235294117646884E-3</v>
      </c>
      <c r="D28" s="42">
        <f t="shared" si="2"/>
        <v>-1.7241379310344775E-3</v>
      </c>
    </row>
    <row r="29" spans="1:4" hidden="1">
      <c r="A29" s="44"/>
      <c r="B29" s="43">
        <f t="shared" si="0"/>
        <v>0.42000000000000021</v>
      </c>
      <c r="C29" s="42">
        <f t="shared" si="1"/>
        <v>-7.9411764705882119E-3</v>
      </c>
      <c r="D29" s="42">
        <f t="shared" si="2"/>
        <v>-1.3793103448275796E-3</v>
      </c>
    </row>
    <row r="30" spans="1:4" hidden="1">
      <c r="A30" s="44"/>
      <c r="B30" s="43">
        <f t="shared" si="0"/>
        <v>0.43000000000000022</v>
      </c>
      <c r="C30" s="42">
        <f t="shared" si="1"/>
        <v>-7.0588235294117424E-3</v>
      </c>
      <c r="D30" s="42">
        <f t="shared" si="2"/>
        <v>-1.0344827586206817E-3</v>
      </c>
    </row>
    <row r="31" spans="1:4" hidden="1">
      <c r="A31" s="44"/>
      <c r="B31" s="43">
        <f t="shared" si="0"/>
        <v>0.44000000000000022</v>
      </c>
      <c r="C31" s="42">
        <f t="shared" si="1"/>
        <v>-6.1764705882352694E-3</v>
      </c>
      <c r="D31" s="42">
        <f t="shared" si="2"/>
        <v>-6.8965517241378546E-4</v>
      </c>
    </row>
    <row r="32" spans="1:4" hidden="1">
      <c r="A32" s="44"/>
      <c r="B32" s="43">
        <f t="shared" si="0"/>
        <v>0.45000000000000023</v>
      </c>
      <c r="C32" s="42">
        <f t="shared" si="1"/>
        <v>-5.2941176470587999E-3</v>
      </c>
      <c r="D32" s="42">
        <f t="shared" si="2"/>
        <v>-3.4482758620688753E-4</v>
      </c>
    </row>
    <row r="33" spans="1:4" hidden="1">
      <c r="A33" s="44"/>
      <c r="B33" s="43">
        <f t="shared" si="0"/>
        <v>0.46000000000000024</v>
      </c>
      <c r="C33" s="42">
        <f t="shared" si="1"/>
        <v>-4.4117647058823269E-3</v>
      </c>
      <c r="D33" s="42">
        <f t="shared" si="2"/>
        <v>0</v>
      </c>
    </row>
    <row r="34" spans="1:4" hidden="1">
      <c r="A34" s="44"/>
      <c r="B34" s="43">
        <f t="shared" si="0"/>
        <v>0.47000000000000025</v>
      </c>
      <c r="C34" s="42">
        <f t="shared" si="1"/>
        <v>-3.5294117647058573E-3</v>
      </c>
      <c r="D34" s="42">
        <v>0</v>
      </c>
    </row>
    <row r="35" spans="1:4" hidden="1">
      <c r="A35" s="44"/>
      <c r="B35" s="43">
        <f t="shared" si="0"/>
        <v>0.48000000000000026</v>
      </c>
      <c r="C35" s="42">
        <f t="shared" si="1"/>
        <v>-2.6470588235293843E-3</v>
      </c>
      <c r="D35" s="42">
        <v>0</v>
      </c>
    </row>
    <row r="36" spans="1:4" hidden="1">
      <c r="A36" s="44"/>
      <c r="B36" s="43">
        <f t="shared" si="0"/>
        <v>0.49000000000000027</v>
      </c>
      <c r="C36" s="42">
        <f t="shared" si="1"/>
        <v>-1.7647058823529148E-3</v>
      </c>
      <c r="D36" s="42">
        <v>0</v>
      </c>
    </row>
    <row r="37" spans="1:4">
      <c r="A37" s="44"/>
      <c r="B37" s="43">
        <f t="shared" ref="B37:B66" si="3">B36+0.01</f>
        <v>0.50000000000000022</v>
      </c>
      <c r="C37" s="42">
        <f t="shared" si="1"/>
        <v>-8.8235294117645219E-4</v>
      </c>
      <c r="D37" s="42">
        <v>0</v>
      </c>
    </row>
    <row r="38" spans="1:4">
      <c r="A38" s="44"/>
      <c r="B38" s="43">
        <f t="shared" si="3"/>
        <v>0.51000000000000023</v>
      </c>
      <c r="C38" s="42">
        <f t="shared" si="1"/>
        <v>0</v>
      </c>
      <c r="D38" s="42">
        <v>0</v>
      </c>
    </row>
    <row r="39" spans="1:4" hidden="1">
      <c r="A39" s="44"/>
      <c r="B39" s="43">
        <f t="shared" si="3"/>
        <v>0.52000000000000024</v>
      </c>
      <c r="C39" s="42">
        <v>0</v>
      </c>
      <c r="D39" s="42">
        <v>0</v>
      </c>
    </row>
    <row r="40" spans="1:4" hidden="1">
      <c r="A40" s="44"/>
      <c r="B40" s="43">
        <f t="shared" si="3"/>
        <v>0.53000000000000025</v>
      </c>
      <c r="C40" s="42">
        <v>0</v>
      </c>
      <c r="D40" s="42">
        <v>0</v>
      </c>
    </row>
    <row r="41" spans="1:4" hidden="1">
      <c r="A41" s="44"/>
      <c r="B41" s="43">
        <f t="shared" si="3"/>
        <v>0.54000000000000026</v>
      </c>
      <c r="C41" s="42">
        <v>0</v>
      </c>
      <c r="D41" s="42">
        <v>0</v>
      </c>
    </row>
    <row r="42" spans="1:4" hidden="1">
      <c r="A42" s="44"/>
      <c r="B42" s="43">
        <f t="shared" si="3"/>
        <v>0.55000000000000027</v>
      </c>
      <c r="C42" s="42">
        <v>0</v>
      </c>
      <c r="D42" s="42">
        <v>0</v>
      </c>
    </row>
    <row r="43" spans="1:4" hidden="1">
      <c r="A43" s="44"/>
      <c r="B43" s="43">
        <f t="shared" si="3"/>
        <v>0.56000000000000028</v>
      </c>
      <c r="C43" s="42">
        <v>0</v>
      </c>
      <c r="D43" s="42">
        <v>0</v>
      </c>
    </row>
    <row r="44" spans="1:4" hidden="1">
      <c r="A44" s="44"/>
      <c r="B44" s="43">
        <f t="shared" si="3"/>
        <v>0.57000000000000028</v>
      </c>
      <c r="C44" s="42">
        <v>0</v>
      </c>
      <c r="D44" s="42">
        <v>0</v>
      </c>
    </row>
    <row r="45" spans="1:4" hidden="1">
      <c r="A45" s="44"/>
      <c r="B45" s="43">
        <f t="shared" si="3"/>
        <v>0.58000000000000029</v>
      </c>
      <c r="C45" s="42">
        <v>0</v>
      </c>
      <c r="D45" s="42">
        <v>0</v>
      </c>
    </row>
    <row r="46" spans="1:4" hidden="1">
      <c r="A46" s="44"/>
      <c r="B46" s="43">
        <f t="shared" si="3"/>
        <v>0.5900000000000003</v>
      </c>
      <c r="C46" s="42">
        <v>0</v>
      </c>
      <c r="D46" s="42">
        <v>0</v>
      </c>
    </row>
    <row r="47" spans="1:4">
      <c r="A47" s="44"/>
      <c r="B47" s="43">
        <f t="shared" si="3"/>
        <v>0.60000000000000031</v>
      </c>
      <c r="C47" s="42">
        <v>0</v>
      </c>
      <c r="D47" s="42">
        <v>0</v>
      </c>
    </row>
    <row r="48" spans="1:4" hidden="1">
      <c r="A48" s="44"/>
      <c r="B48" s="43">
        <f t="shared" si="3"/>
        <v>0.61000000000000032</v>
      </c>
      <c r="C48" s="42">
        <v>0</v>
      </c>
      <c r="D48" s="42">
        <f t="shared" ref="D48:D65" si="4">$D$67- ((B48-$B$67)*($D$67/($D$70-$B$67)))</f>
        <v>1.7347234759768071E-17</v>
      </c>
    </row>
    <row r="49" spans="1:4" hidden="1">
      <c r="A49" s="44"/>
      <c r="B49" s="43">
        <f t="shared" si="3"/>
        <v>0.62000000000000033</v>
      </c>
      <c r="C49" s="42">
        <v>0</v>
      </c>
      <c r="D49" s="42">
        <f t="shared" si="4"/>
        <v>5.2631578947370285E-4</v>
      </c>
    </row>
    <row r="50" spans="1:4" hidden="1">
      <c r="A50" s="44"/>
      <c r="B50" s="43">
        <f t="shared" si="3"/>
        <v>0.63000000000000034</v>
      </c>
      <c r="C50" s="42">
        <v>0</v>
      </c>
      <c r="D50" s="42">
        <f t="shared" si="4"/>
        <v>1.0526315789473866E-3</v>
      </c>
    </row>
    <row r="51" spans="1:4" hidden="1">
      <c r="A51" s="44"/>
      <c r="B51" s="43">
        <f t="shared" si="3"/>
        <v>0.64000000000000035</v>
      </c>
      <c r="C51" s="42">
        <v>0</v>
      </c>
      <c r="D51" s="42">
        <f t="shared" si="4"/>
        <v>1.5789473684210721E-3</v>
      </c>
    </row>
    <row r="52" spans="1:4" hidden="1">
      <c r="A52" s="44"/>
      <c r="B52" s="43">
        <f t="shared" si="3"/>
        <v>0.65000000000000036</v>
      </c>
      <c r="C52" s="42">
        <v>0</v>
      </c>
      <c r="D52" s="42">
        <f t="shared" si="4"/>
        <v>2.1052631578947559E-3</v>
      </c>
    </row>
    <row r="53" spans="1:4" hidden="1">
      <c r="A53" s="44"/>
      <c r="B53" s="43">
        <f t="shared" si="3"/>
        <v>0.66000000000000036</v>
      </c>
      <c r="C53" s="42">
        <v>0</v>
      </c>
      <c r="D53" s="42">
        <f t="shared" si="4"/>
        <v>2.6315789473684405E-3</v>
      </c>
    </row>
    <row r="54" spans="1:4" hidden="1">
      <c r="A54" s="44"/>
      <c r="B54" s="43">
        <f t="shared" si="3"/>
        <v>0.67000000000000037</v>
      </c>
      <c r="C54" s="42">
        <v>0</v>
      </c>
      <c r="D54" s="42">
        <f t="shared" si="4"/>
        <v>3.1578947368421251E-3</v>
      </c>
    </row>
    <row r="55" spans="1:4" hidden="1">
      <c r="A55" s="44"/>
      <c r="B55" s="43">
        <f t="shared" si="3"/>
        <v>0.68000000000000038</v>
      </c>
      <c r="C55" s="42">
        <v>0</v>
      </c>
      <c r="D55" s="42">
        <f t="shared" si="4"/>
        <v>3.6842105263158098E-3</v>
      </c>
    </row>
    <row r="56" spans="1:4" hidden="1">
      <c r="A56" s="44"/>
      <c r="B56" s="43">
        <f t="shared" si="3"/>
        <v>0.69000000000000039</v>
      </c>
      <c r="C56" s="42">
        <v>0</v>
      </c>
      <c r="D56" s="42">
        <f t="shared" si="4"/>
        <v>4.2105263157894935E-3</v>
      </c>
    </row>
    <row r="57" spans="1:4">
      <c r="A57" s="44"/>
      <c r="B57" s="43">
        <f t="shared" si="3"/>
        <v>0.7000000000000004</v>
      </c>
      <c r="C57" s="42">
        <v>0</v>
      </c>
      <c r="D57" s="42">
        <f t="shared" si="4"/>
        <v>4.7368421052631782E-3</v>
      </c>
    </row>
    <row r="58" spans="1:4" hidden="1">
      <c r="A58" s="44"/>
      <c r="B58" s="43">
        <f t="shared" si="3"/>
        <v>0.71000000000000041</v>
      </c>
      <c r="C58" s="42">
        <v>0</v>
      </c>
      <c r="D58" s="42">
        <f t="shared" si="4"/>
        <v>5.2631578947368628E-3</v>
      </c>
    </row>
    <row r="59" spans="1:4" hidden="1">
      <c r="A59" s="44"/>
      <c r="B59" s="43">
        <f t="shared" si="3"/>
        <v>0.72000000000000042</v>
      </c>
      <c r="C59" s="42">
        <v>0</v>
      </c>
      <c r="D59" s="42">
        <f t="shared" si="4"/>
        <v>5.7894736842105474E-3</v>
      </c>
    </row>
    <row r="60" spans="1:4" hidden="1">
      <c r="A60" s="44"/>
      <c r="B60" s="43">
        <f t="shared" si="3"/>
        <v>0.73000000000000043</v>
      </c>
      <c r="C60" s="42">
        <v>0</v>
      </c>
      <c r="D60" s="42">
        <f t="shared" si="4"/>
        <v>6.3157894736842321E-3</v>
      </c>
    </row>
    <row r="61" spans="1:4" hidden="1">
      <c r="A61" s="44"/>
      <c r="B61" s="43">
        <f t="shared" si="3"/>
        <v>0.74000000000000044</v>
      </c>
      <c r="C61" s="42">
        <v>0</v>
      </c>
      <c r="D61" s="42">
        <f t="shared" si="4"/>
        <v>6.8421052631579167E-3</v>
      </c>
    </row>
    <row r="62" spans="1:4" hidden="1">
      <c r="A62" s="44"/>
      <c r="B62" s="43">
        <f t="shared" si="3"/>
        <v>0.75000000000000044</v>
      </c>
      <c r="C62" s="42">
        <v>0</v>
      </c>
      <c r="D62" s="42">
        <f t="shared" si="4"/>
        <v>7.3684210526316005E-3</v>
      </c>
    </row>
    <row r="63" spans="1:4" hidden="1">
      <c r="A63" s="44"/>
      <c r="B63" s="43">
        <f t="shared" si="3"/>
        <v>0.76000000000000045</v>
      </c>
      <c r="C63" s="42">
        <v>0</v>
      </c>
      <c r="D63" s="42">
        <f t="shared" si="4"/>
        <v>7.894736842105286E-3</v>
      </c>
    </row>
    <row r="64" spans="1:4" hidden="1">
      <c r="A64" s="44"/>
      <c r="B64" s="43">
        <f t="shared" si="3"/>
        <v>0.77000000000000046</v>
      </c>
      <c r="C64" s="42">
        <v>0</v>
      </c>
      <c r="D64" s="42">
        <f t="shared" si="4"/>
        <v>8.4210526315789697E-3</v>
      </c>
    </row>
    <row r="65" spans="1:4" hidden="1">
      <c r="A65" s="44"/>
      <c r="B65" s="43">
        <f t="shared" si="3"/>
        <v>0.78000000000000047</v>
      </c>
      <c r="C65" s="42">
        <v>0</v>
      </c>
      <c r="D65" s="42">
        <f t="shared" si="4"/>
        <v>8.9473684210526552E-3</v>
      </c>
    </row>
    <row r="66" spans="1:4">
      <c r="A66" s="44"/>
      <c r="B66" s="43">
        <f t="shared" si="3"/>
        <v>0.79000000000000048</v>
      </c>
      <c r="C66" s="42">
        <v>0</v>
      </c>
      <c r="D66" s="42">
        <f>$D$67- ((B66-$B$67)*($D$67/($D$70-$B$67)))</f>
        <v>9.473684210526339E-3</v>
      </c>
    </row>
    <row r="67" spans="1:4" ht="28.8">
      <c r="A67" s="41" t="s">
        <v>126</v>
      </c>
      <c r="B67" s="40">
        <v>0.8</v>
      </c>
      <c r="C67" s="39">
        <v>0</v>
      </c>
      <c r="D67" s="39">
        <v>0.01</v>
      </c>
    </row>
    <row r="69" spans="1:4">
      <c r="A69" s="351" t="s">
        <v>125</v>
      </c>
      <c r="B69" s="352"/>
      <c r="C69" s="38">
        <f>'[2]A-Scaling Parameters'!C5</f>
        <v>0.51</v>
      </c>
      <c r="D69" s="38">
        <f>'[2]A-Scaling Parameters'!C6</f>
        <v>0.46</v>
      </c>
    </row>
    <row r="70" spans="1:4">
      <c r="A70" s="351" t="s">
        <v>124</v>
      </c>
      <c r="B70" s="352"/>
      <c r="C70" s="38" t="s">
        <v>123</v>
      </c>
      <c r="D70" s="38">
        <v>0.61</v>
      </c>
    </row>
    <row r="71" spans="1:4">
      <c r="A71" s="353" t="s">
        <v>122</v>
      </c>
      <c r="B71" s="353"/>
      <c r="C71" s="353"/>
      <c r="D71" s="353"/>
    </row>
    <row r="72" spans="1:4">
      <c r="A72" s="354"/>
      <c r="B72" s="354"/>
      <c r="C72" s="354"/>
      <c r="D72" s="354"/>
    </row>
  </sheetData>
  <mergeCells count="5">
    <mergeCell ref="A2:D2"/>
    <mergeCell ref="A3:B3"/>
    <mergeCell ref="A69:B69"/>
    <mergeCell ref="A70:B70"/>
    <mergeCell ref="A71:D72"/>
  </mergeCells>
  <pageMargins left="0.7" right="0.7" top="0.75" bottom="0.75" header="0.3" footer="0.3"/>
  <pageSetup orientation="portrait" r:id="rId1"/>
  <headerFooter>
    <oddFooter>&amp;CHSCRC Work Group Meeting
Feb 2, 2015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zoomScale="60" zoomScaleNormal="100" workbookViewId="0">
      <selection activeCell="E15" sqref="E15"/>
    </sheetView>
  </sheetViews>
  <sheetFormatPr defaultColWidth="9.109375" defaultRowHeight="15.6"/>
  <cols>
    <col min="1" max="1" width="12.44140625" style="200" customWidth="1"/>
    <col min="2" max="2" width="33.88671875" style="200" customWidth="1"/>
    <col min="3" max="3" width="18.33203125" style="200" bestFit="1" customWidth="1"/>
    <col min="4" max="4" width="15.6640625" style="200" customWidth="1"/>
    <col min="5" max="5" width="24.109375" style="222" customWidth="1"/>
    <col min="6" max="8" width="19.88671875" style="200" customWidth="1"/>
    <col min="9" max="9" width="19.44140625" style="199" customWidth="1"/>
    <col min="10" max="10" width="19.88671875" style="200" customWidth="1"/>
    <col min="11" max="11" width="19.88671875" style="226" customWidth="1"/>
    <col min="12" max="16384" width="9.109375" style="200"/>
  </cols>
  <sheetData>
    <row r="1" spans="1:13" s="190" customFormat="1" ht="41.25" customHeight="1">
      <c r="A1" s="189" t="s">
        <v>256</v>
      </c>
      <c r="E1" s="355" t="s">
        <v>145</v>
      </c>
      <c r="F1" s="355"/>
      <c r="G1" s="355"/>
      <c r="H1" s="355"/>
      <c r="I1" s="191" t="s">
        <v>146</v>
      </c>
      <c r="J1" s="191"/>
      <c r="K1" s="191"/>
    </row>
    <row r="2" spans="1:13" s="190" customFormat="1" ht="69">
      <c r="A2" s="192" t="s">
        <v>121</v>
      </c>
      <c r="B2" s="193" t="s">
        <v>120</v>
      </c>
      <c r="C2" s="193" t="s">
        <v>119</v>
      </c>
      <c r="D2" s="193" t="s">
        <v>118</v>
      </c>
      <c r="E2" s="194" t="s">
        <v>117</v>
      </c>
      <c r="F2" s="234" t="s">
        <v>115</v>
      </c>
      <c r="G2" s="234" t="s">
        <v>114</v>
      </c>
      <c r="H2" s="234" t="s">
        <v>116</v>
      </c>
      <c r="I2" s="195" t="s">
        <v>131</v>
      </c>
      <c r="J2" s="235" t="s">
        <v>115</v>
      </c>
      <c r="K2" s="235" t="s">
        <v>114</v>
      </c>
    </row>
    <row r="3" spans="1:13" s="199" customFormat="1" ht="16.2" customHeight="1">
      <c r="A3" s="201"/>
      <c r="B3" s="202" t="s">
        <v>113</v>
      </c>
      <c r="C3" s="202"/>
      <c r="D3" s="202"/>
      <c r="E3" s="203"/>
      <c r="F3" s="205">
        <f>'5.MHAC Scaling'!C4</f>
        <v>-0.03</v>
      </c>
      <c r="G3" s="206" t="s">
        <v>112</v>
      </c>
      <c r="H3" s="206"/>
      <c r="I3" s="204"/>
      <c r="J3" s="207">
        <f>'7Aggregate Summary'!$B$5</f>
        <v>-0.01</v>
      </c>
      <c r="K3" s="208" t="s">
        <v>112</v>
      </c>
    </row>
    <row r="4" spans="1:13" ht="15">
      <c r="A4" s="196">
        <v>210019</v>
      </c>
      <c r="B4" s="196" t="s">
        <v>68</v>
      </c>
      <c r="C4" s="209">
        <f>VLOOKUP(A4,Revenue!$A$2:$C$47,3,0)</f>
        <v>233728496.38738936</v>
      </c>
      <c r="D4" s="210">
        <v>0.19</v>
      </c>
      <c r="E4" s="211">
        <v>0.22</v>
      </c>
      <c r="F4" s="212">
        <f>'5.MHAC Scaling'!C9</f>
        <v>-2.5588235294117641E-2</v>
      </c>
      <c r="G4" s="213">
        <f t="shared" ref="G4:G49" si="0">C4*F4</f>
        <v>-5980699.7605008436</v>
      </c>
      <c r="H4" s="213">
        <f t="shared" ref="H4:H49" si="1">G4/$H$58</f>
        <v>-2177225.062583176</v>
      </c>
      <c r="I4" s="197">
        <v>0.27</v>
      </c>
      <c r="J4" s="214">
        <f>'5.MHAC Scaling'!D14</f>
        <v>-6.551724137931033E-3</v>
      </c>
      <c r="K4" s="215">
        <f t="shared" ref="K4:K49" si="2">J4*C4</f>
        <v>-1531324.631503585</v>
      </c>
      <c r="M4" s="216"/>
    </row>
    <row r="5" spans="1:13" ht="15">
      <c r="A5" s="196">
        <v>210004</v>
      </c>
      <c r="B5" s="196" t="s">
        <v>55</v>
      </c>
      <c r="C5" s="209">
        <f>VLOOKUP(A5,Revenue!$A$2:$C$47,3,0)</f>
        <v>319596342.21781081</v>
      </c>
      <c r="D5" s="210">
        <v>0.21</v>
      </c>
      <c r="E5" s="211">
        <v>0.22</v>
      </c>
      <c r="F5" s="212">
        <f>'5.MHAC Scaling'!C9</f>
        <v>-2.5588235294117641E-2</v>
      </c>
      <c r="G5" s="213">
        <f t="shared" si="0"/>
        <v>-8177906.403808686</v>
      </c>
      <c r="H5" s="213">
        <f t="shared" si="1"/>
        <v>-2977100.2549609113</v>
      </c>
      <c r="I5" s="197">
        <v>0.27</v>
      </c>
      <c r="J5" s="214">
        <f>'5.MHAC Scaling'!D14</f>
        <v>-6.551724137931033E-3</v>
      </c>
      <c r="K5" s="215">
        <f t="shared" si="2"/>
        <v>-2093907.0697028979</v>
      </c>
      <c r="M5" s="216"/>
    </row>
    <row r="6" spans="1:13" ht="15">
      <c r="A6" s="196">
        <v>210022</v>
      </c>
      <c r="B6" s="196" t="s">
        <v>69</v>
      </c>
      <c r="C6" s="209">
        <f>VLOOKUP(A6,Revenue!$A$2:$C$47,3,0)</f>
        <v>181410188.33315492</v>
      </c>
      <c r="D6" s="210">
        <v>0.2</v>
      </c>
      <c r="E6" s="211">
        <v>0.23</v>
      </c>
      <c r="F6" s="212">
        <f>'5.MHAC Scaling'!C10</f>
        <v>-2.4705882352941171E-2</v>
      </c>
      <c r="G6" s="213">
        <f t="shared" si="0"/>
        <v>-4481898.7705838261</v>
      </c>
      <c r="H6" s="213">
        <f t="shared" si="1"/>
        <v>-1631598.7630281334</v>
      </c>
      <c r="I6" s="197">
        <v>0.27</v>
      </c>
      <c r="J6" s="214">
        <f>'5.MHAC Scaling'!D14</f>
        <v>-6.551724137931033E-3</v>
      </c>
      <c r="K6" s="215">
        <f t="shared" si="2"/>
        <v>-1188549.5097689456</v>
      </c>
      <c r="M6" s="216"/>
    </row>
    <row r="7" spans="1:13" ht="15">
      <c r="A7" s="196">
        <v>210062</v>
      </c>
      <c r="B7" s="196" t="s">
        <v>96</v>
      </c>
      <c r="C7" s="209">
        <f>VLOOKUP(A7,Revenue!$A$2:$C$47,3,0)</f>
        <v>163208213.46317798</v>
      </c>
      <c r="D7" s="210">
        <v>0.23</v>
      </c>
      <c r="E7" s="211">
        <v>0.24</v>
      </c>
      <c r="F7" s="212">
        <f>'5.MHAC Scaling'!C11</f>
        <v>-2.3823529411764698E-2</v>
      </c>
      <c r="G7" s="213">
        <f t="shared" si="0"/>
        <v>-3888195.6736815916</v>
      </c>
      <c r="H7" s="213">
        <f t="shared" si="1"/>
        <v>-1415465.9835754922</v>
      </c>
      <c r="I7" s="197">
        <v>0.28999999999999998</v>
      </c>
      <c r="J7" s="214">
        <f>'5.MHAC Scaling'!D16</f>
        <v>-5.8620689655172389E-3</v>
      </c>
      <c r="K7" s="215">
        <f t="shared" si="2"/>
        <v>-956737.80306000845</v>
      </c>
      <c r="M7" s="216"/>
    </row>
    <row r="8" spans="1:13" ht="15">
      <c r="A8" s="196">
        <v>210044</v>
      </c>
      <c r="B8" s="196" t="s">
        <v>85</v>
      </c>
      <c r="C8" s="209">
        <f>VLOOKUP(A8,Revenue!$A$2:$C$47,3,0)</f>
        <v>201533345.32362995</v>
      </c>
      <c r="D8" s="210">
        <v>0.25</v>
      </c>
      <c r="E8" s="211">
        <v>0.27</v>
      </c>
      <c r="F8" s="212">
        <f>'5.MHAC Scaling'!C14</f>
        <v>-2.1176470588235286E-2</v>
      </c>
      <c r="G8" s="213">
        <f t="shared" si="0"/>
        <v>-4267764.9597945148</v>
      </c>
      <c r="H8" s="213">
        <f t="shared" si="1"/>
        <v>-1553645.0923429676</v>
      </c>
      <c r="I8" s="197">
        <v>0.31</v>
      </c>
      <c r="J8" s="214">
        <f>'5.MHAC Scaling'!D18</f>
        <v>-5.1724137931034456E-3</v>
      </c>
      <c r="K8" s="215">
        <f t="shared" si="2"/>
        <v>-1042413.8551222233</v>
      </c>
      <c r="M8" s="216"/>
    </row>
    <row r="9" spans="1:13" ht="15">
      <c r="A9" s="196">
        <v>210048</v>
      </c>
      <c r="B9" s="196" t="s">
        <v>87</v>
      </c>
      <c r="C9" s="209">
        <f>VLOOKUP(A9,Revenue!$A$2:$C$47,3,0)</f>
        <v>167386496.75761572</v>
      </c>
      <c r="D9" s="210">
        <v>0.24</v>
      </c>
      <c r="E9" s="211">
        <v>0.27</v>
      </c>
      <c r="F9" s="212">
        <f>'5.MHAC Scaling'!C14</f>
        <v>-2.1176470588235286E-2</v>
      </c>
      <c r="G9" s="213">
        <f t="shared" si="0"/>
        <v>-3544655.2254553903</v>
      </c>
      <c r="H9" s="213">
        <f t="shared" si="1"/>
        <v>-1290402.8799518945</v>
      </c>
      <c r="I9" s="197">
        <v>0.31</v>
      </c>
      <c r="J9" s="214">
        <f>'5.MHAC Scaling'!D18</f>
        <v>-5.1724137931034456E-3</v>
      </c>
      <c r="K9" s="215">
        <f t="shared" si="2"/>
        <v>-865792.22460835672</v>
      </c>
      <c r="M9" s="216"/>
    </row>
    <row r="10" spans="1:13" ht="15">
      <c r="A10" s="196">
        <v>210009</v>
      </c>
      <c r="B10" s="196" t="s">
        <v>59</v>
      </c>
      <c r="C10" s="209">
        <f>VLOOKUP(A10,Revenue!$A$2:$C$47,3,0)</f>
        <v>1292515919.3162181</v>
      </c>
      <c r="D10" s="210">
        <v>0.25</v>
      </c>
      <c r="E10" s="211">
        <v>0.28999999999999998</v>
      </c>
      <c r="F10" s="212">
        <f>'5.MHAC Scaling'!C16</f>
        <v>-1.9411764705882344E-2</v>
      </c>
      <c r="G10" s="213">
        <f t="shared" si="0"/>
        <v>-25090014.904373635</v>
      </c>
      <c r="H10" s="213">
        <f t="shared" si="1"/>
        <v>-9133815.6834365297</v>
      </c>
      <c r="I10" s="197">
        <v>0.32</v>
      </c>
      <c r="J10" s="214">
        <f>'5.MHAC Scaling'!D19</f>
        <v>-4.8275862068965485E-3</v>
      </c>
      <c r="K10" s="215">
        <f t="shared" si="2"/>
        <v>-6239732.024285187</v>
      </c>
      <c r="M10" s="216"/>
    </row>
    <row r="11" spans="1:13" ht="15">
      <c r="A11" s="196">
        <v>210002</v>
      </c>
      <c r="B11" s="196" t="s">
        <v>53</v>
      </c>
      <c r="C11" s="209">
        <f>VLOOKUP(A11,Revenue!$A$2:$C$47,3,0)</f>
        <v>863843448.60398436</v>
      </c>
      <c r="D11" s="210">
        <v>0.25</v>
      </c>
      <c r="E11" s="211">
        <v>0.28999999999999998</v>
      </c>
      <c r="F11" s="212">
        <f>'5.MHAC Scaling'!C16</f>
        <v>-1.9411764705882344E-2</v>
      </c>
      <c r="G11" s="213">
        <f t="shared" si="0"/>
        <v>-16768725.767018512</v>
      </c>
      <c r="H11" s="213">
        <f t="shared" si="1"/>
        <v>-6104518.1115193758</v>
      </c>
      <c r="I11" s="197">
        <v>0.33</v>
      </c>
      <c r="J11" s="214">
        <f>'5.MHAC Scaling'!D20</f>
        <v>-4.4827586206896515E-3</v>
      </c>
      <c r="K11" s="215">
        <f t="shared" si="2"/>
        <v>-3872401.6661557886</v>
      </c>
      <c r="M11" s="216"/>
    </row>
    <row r="12" spans="1:13" ht="15">
      <c r="A12" s="196">
        <v>210024</v>
      </c>
      <c r="B12" s="196" t="s">
        <v>71</v>
      </c>
      <c r="C12" s="209">
        <f>VLOOKUP(A12,Revenue!$A$2:$C$47,3,0)</f>
        <v>242505500.48554313</v>
      </c>
      <c r="D12" s="210">
        <v>0.28000000000000003</v>
      </c>
      <c r="E12" s="211">
        <v>0.28999999999999998</v>
      </c>
      <c r="F12" s="212">
        <f>'5.MHAC Scaling'!C16</f>
        <v>-1.9411764705882344E-2</v>
      </c>
      <c r="G12" s="213">
        <f t="shared" si="0"/>
        <v>-4707459.7153075999</v>
      </c>
      <c r="H12" s="213">
        <f t="shared" si="1"/>
        <v>-1713712.3888008161</v>
      </c>
      <c r="I12" s="197">
        <v>0.33</v>
      </c>
      <c r="J12" s="214">
        <f>'5.MHAC Scaling'!D20</f>
        <v>-4.4827586206896515E-3</v>
      </c>
      <c r="K12" s="215">
        <f t="shared" si="2"/>
        <v>-1087093.6228662268</v>
      </c>
      <c r="M12" s="216"/>
    </row>
    <row r="13" spans="1:13" ht="15">
      <c r="A13" s="196">
        <v>210033</v>
      </c>
      <c r="B13" s="196" t="s">
        <v>77</v>
      </c>
      <c r="C13" s="209">
        <f>VLOOKUP(A13,Revenue!$A$2:$C$47,3,0)</f>
        <v>138209278.26224214</v>
      </c>
      <c r="D13" s="210">
        <v>0.28999999999999998</v>
      </c>
      <c r="E13" s="211">
        <v>0.31</v>
      </c>
      <c r="F13" s="212">
        <f>'5.MHAC Scaling'!C18</f>
        <v>-1.7647058823529401E-2</v>
      </c>
      <c r="G13" s="213">
        <f t="shared" si="0"/>
        <v>-2438987.2634513304</v>
      </c>
      <c r="H13" s="213">
        <f t="shared" si="1"/>
        <v>-887893.45895248489</v>
      </c>
      <c r="I13" s="197">
        <v>0.35</v>
      </c>
      <c r="J13" s="214">
        <f>'5.MHAC Scaling'!D22</f>
        <v>-3.7931034482758582E-3</v>
      </c>
      <c r="K13" s="215">
        <f t="shared" si="2"/>
        <v>-524242.08996022824</v>
      </c>
      <c r="M13" s="216"/>
    </row>
    <row r="14" spans="1:13" ht="15">
      <c r="A14" s="196">
        <v>210023</v>
      </c>
      <c r="B14" s="196" t="s">
        <v>70</v>
      </c>
      <c r="C14" s="209">
        <f>VLOOKUP(A14,Revenue!$A$2:$C$47,3,0)</f>
        <v>310117074.81392145</v>
      </c>
      <c r="D14" s="210">
        <v>0.28999999999999998</v>
      </c>
      <c r="E14" s="211">
        <v>0.32</v>
      </c>
      <c r="F14" s="212">
        <f>'5.MHAC Scaling'!C19</f>
        <v>-1.6764705882352932E-2</v>
      </c>
      <c r="G14" s="213">
        <f t="shared" si="0"/>
        <v>-5199021.5483510327</v>
      </c>
      <c r="H14" s="213">
        <f t="shared" si="1"/>
        <v>-1892661.47261536</v>
      </c>
      <c r="I14" s="197">
        <v>0.36</v>
      </c>
      <c r="J14" s="214">
        <f>'5.MHAC Scaling'!D23</f>
        <v>-3.4482758620689611E-3</v>
      </c>
      <c r="K14" s="215">
        <f t="shared" si="2"/>
        <v>-1069369.2234962794</v>
      </c>
      <c r="M14" s="216"/>
    </row>
    <row r="15" spans="1:13" ht="30">
      <c r="A15" s="196">
        <v>210043</v>
      </c>
      <c r="B15" s="196" t="s">
        <v>84</v>
      </c>
      <c r="C15" s="209">
        <f>VLOOKUP(A15,Revenue!$A$2:$C$47,3,0)</f>
        <v>223155125.99975017</v>
      </c>
      <c r="D15" s="210">
        <v>0.3</v>
      </c>
      <c r="E15" s="211">
        <v>0.32</v>
      </c>
      <c r="F15" s="212">
        <f>'5.MHAC Scaling'!C19</f>
        <v>-1.6764705882352932E-2</v>
      </c>
      <c r="G15" s="213">
        <f t="shared" si="0"/>
        <v>-3741130.0535252211</v>
      </c>
      <c r="H15" s="213">
        <f t="shared" si="1"/>
        <v>-1361927.9417290357</v>
      </c>
      <c r="I15" s="197">
        <v>0.37</v>
      </c>
      <c r="J15" s="214">
        <f>'5.MHAC Scaling'!D24</f>
        <v>-3.1034482758620641E-3</v>
      </c>
      <c r="K15" s="215">
        <f t="shared" si="2"/>
        <v>-692550.39103370637</v>
      </c>
      <c r="M15" s="216"/>
    </row>
    <row r="16" spans="1:13" ht="15">
      <c r="A16" s="196">
        <v>210051</v>
      </c>
      <c r="B16" s="196" t="s">
        <v>89</v>
      </c>
      <c r="C16" s="209">
        <f>VLOOKUP(A16,Revenue!$A$2:$C$47,3,0)</f>
        <v>136225390.68992713</v>
      </c>
      <c r="D16" s="210">
        <v>0.32</v>
      </c>
      <c r="E16" s="211">
        <v>0.34</v>
      </c>
      <c r="F16" s="212">
        <f>'5.MHAC Scaling'!C21</f>
        <v>-1.4999999999999987E-2</v>
      </c>
      <c r="G16" s="213">
        <f t="shared" si="0"/>
        <v>-2043380.8603489052</v>
      </c>
      <c r="H16" s="213">
        <f t="shared" si="1"/>
        <v>-743876.16829336435</v>
      </c>
      <c r="I16" s="197">
        <v>0.38</v>
      </c>
      <c r="J16" s="214">
        <f>'5.MHAC Scaling'!D25</f>
        <v>-2.758620689655167E-3</v>
      </c>
      <c r="K16" s="215">
        <f t="shared" si="2"/>
        <v>-375794.18121359136</v>
      </c>
      <c r="M16" s="216"/>
    </row>
    <row r="17" spans="1:13" ht="15">
      <c r="A17" s="196">
        <v>210040</v>
      </c>
      <c r="B17" s="196" t="s">
        <v>83</v>
      </c>
      <c r="C17" s="209">
        <f>VLOOKUP(A17,Revenue!$A$2:$C$47,3,0)</f>
        <v>142186717.48751882</v>
      </c>
      <c r="D17" s="210">
        <v>0.33</v>
      </c>
      <c r="E17" s="211">
        <v>0.36</v>
      </c>
      <c r="F17" s="212">
        <f>'5.MHAC Scaling'!C23</f>
        <v>-1.3235294117647043E-2</v>
      </c>
      <c r="G17" s="213">
        <f t="shared" si="0"/>
        <v>-1881883.0255700997</v>
      </c>
      <c r="H17" s="213">
        <f t="shared" si="1"/>
        <v>-685084.1961974625</v>
      </c>
      <c r="I17" s="197">
        <v>0.4</v>
      </c>
      <c r="J17" s="214">
        <f>'5.MHAC Scaling'!D27</f>
        <v>-2.0689655172413737E-3</v>
      </c>
      <c r="K17" s="215">
        <f t="shared" si="2"/>
        <v>-294179.41549141746</v>
      </c>
      <c r="M17" s="216"/>
    </row>
    <row r="18" spans="1:13" ht="15">
      <c r="A18" s="196">
        <v>210012</v>
      </c>
      <c r="B18" s="196" t="s">
        <v>62</v>
      </c>
      <c r="C18" s="209">
        <f>VLOOKUP(A18,Revenue!$A$2:$C$47,3,0)</f>
        <v>429154678.73181057</v>
      </c>
      <c r="D18" s="210">
        <v>0.33</v>
      </c>
      <c r="E18" s="211">
        <v>0.37</v>
      </c>
      <c r="F18" s="212">
        <f>'5.MHAC Scaling'!C24</f>
        <v>-1.2352941176470573E-2</v>
      </c>
      <c r="G18" s="213">
        <f t="shared" si="0"/>
        <v>-5301322.501981183</v>
      </c>
      <c r="H18" s="213">
        <f t="shared" si="1"/>
        <v>-1929903.3020147798</v>
      </c>
      <c r="I18" s="197">
        <v>0.4</v>
      </c>
      <c r="J18" s="214">
        <f>'5.MHAC Scaling'!D27</f>
        <v>-2.0689655172413737E-3</v>
      </c>
      <c r="K18" s="215">
        <f t="shared" si="2"/>
        <v>-887906.231858916</v>
      </c>
      <c r="M18" s="216"/>
    </row>
    <row r="19" spans="1:13" ht="15">
      <c r="A19" s="196">
        <v>210034</v>
      </c>
      <c r="B19" s="196" t="s">
        <v>78</v>
      </c>
      <c r="C19" s="209">
        <f>VLOOKUP(A19,Revenue!$A$2:$C$47,3,0)</f>
        <v>124002219.66514386</v>
      </c>
      <c r="D19" s="210">
        <v>0.35</v>
      </c>
      <c r="E19" s="211">
        <v>0.37</v>
      </c>
      <c r="F19" s="212">
        <f>'5.MHAC Scaling'!C24</f>
        <v>-1.2352941176470573E-2</v>
      </c>
      <c r="G19" s="213">
        <f t="shared" si="0"/>
        <v>-1531792.1252753048</v>
      </c>
      <c r="H19" s="213">
        <f t="shared" si="1"/>
        <v>-557636.45382152626</v>
      </c>
      <c r="I19" s="197">
        <v>0.4</v>
      </c>
      <c r="J19" s="214">
        <f>'5.MHAC Scaling'!D27</f>
        <v>-2.0689655172413737E-3</v>
      </c>
      <c r="K19" s="215">
        <f t="shared" si="2"/>
        <v>-256556.31654857282</v>
      </c>
      <c r="M19" s="216"/>
    </row>
    <row r="20" spans="1:13" ht="15">
      <c r="A20" s="196">
        <v>210016</v>
      </c>
      <c r="B20" s="196" t="s">
        <v>65</v>
      </c>
      <c r="C20" s="209">
        <f>VLOOKUP(A20,Revenue!$A$2:$C$47,3,0)</f>
        <v>161698669.47905135</v>
      </c>
      <c r="D20" s="210">
        <v>0.34</v>
      </c>
      <c r="E20" s="211">
        <v>0.36</v>
      </c>
      <c r="F20" s="212">
        <f>'5.MHAC Scaling'!C23</f>
        <v>-1.3235294117647043E-2</v>
      </c>
      <c r="G20" s="213">
        <f t="shared" si="0"/>
        <v>-2140129.4489874416</v>
      </c>
      <c r="H20" s="213">
        <f t="shared" si="1"/>
        <v>-779096.70441600215</v>
      </c>
      <c r="I20" s="197">
        <v>0.41</v>
      </c>
      <c r="J20" s="214">
        <f>'5.MHAC Scaling'!D28</f>
        <v>-1.7241379310344775E-3</v>
      </c>
      <c r="K20" s="215">
        <f t="shared" si="2"/>
        <v>-278790.80944663944</v>
      </c>
      <c r="M20" s="216"/>
    </row>
    <row r="21" spans="1:13" ht="15">
      <c r="A21" s="196">
        <v>210049</v>
      </c>
      <c r="B21" s="196" t="s">
        <v>88</v>
      </c>
      <c r="C21" s="209">
        <f>VLOOKUP(A21,Revenue!$A$2:$C$47,3,0)</f>
        <v>148917095.66517001</v>
      </c>
      <c r="D21" s="210">
        <v>0.33</v>
      </c>
      <c r="E21" s="211">
        <v>0.37</v>
      </c>
      <c r="F21" s="212">
        <f>'5.MHAC Scaling'!C24</f>
        <v>-1.2352941176470573E-2</v>
      </c>
      <c r="G21" s="213">
        <f t="shared" si="0"/>
        <v>-1839564.1229226862</v>
      </c>
      <c r="H21" s="213">
        <f t="shared" si="1"/>
        <v>-669678.3441810339</v>
      </c>
      <c r="I21" s="197">
        <v>0.41</v>
      </c>
      <c r="J21" s="214">
        <f>'5.MHAC Scaling'!D28</f>
        <v>-1.7241379310344775E-3</v>
      </c>
      <c r="K21" s="215">
        <f t="shared" si="2"/>
        <v>-256753.6132158096</v>
      </c>
      <c r="M21" s="216"/>
    </row>
    <row r="22" spans="1:13" ht="15">
      <c r="A22" s="196">
        <v>210063</v>
      </c>
      <c r="B22" s="196" t="s">
        <v>97</v>
      </c>
      <c r="C22" s="209">
        <f>VLOOKUP(A22,Revenue!$A$2:$C$47,3,0)</f>
        <v>216335127.85977465</v>
      </c>
      <c r="D22" s="210">
        <v>0.34</v>
      </c>
      <c r="E22" s="211">
        <v>0.37</v>
      </c>
      <c r="F22" s="212">
        <f>'5.MHAC Scaling'!C24</f>
        <v>-1.2352941176470573E-2</v>
      </c>
      <c r="G22" s="213">
        <f t="shared" si="0"/>
        <v>-2672375.1088560368</v>
      </c>
      <c r="H22" s="213">
        <f t="shared" si="1"/>
        <v>-972856.40420403879</v>
      </c>
      <c r="I22" s="197">
        <v>0.41</v>
      </c>
      <c r="J22" s="214">
        <f>'5.MHAC Scaling'!D28</f>
        <v>-1.7241379310344775E-3</v>
      </c>
      <c r="K22" s="215">
        <f t="shared" si="2"/>
        <v>-372991.59975823102</v>
      </c>
      <c r="M22" s="216"/>
    </row>
    <row r="23" spans="1:13" ht="15">
      <c r="A23" s="196">
        <v>210001</v>
      </c>
      <c r="B23" s="196" t="s">
        <v>52</v>
      </c>
      <c r="C23" s="209">
        <f>VLOOKUP(A23,Revenue!$A$2:$C$47,3,0)</f>
        <v>187434496.6631088</v>
      </c>
      <c r="D23" s="210">
        <v>0.36</v>
      </c>
      <c r="E23" s="211">
        <v>0.38</v>
      </c>
      <c r="F23" s="212">
        <f>'5.MHAC Scaling'!C25</f>
        <v>-1.14705882352941E-2</v>
      </c>
      <c r="G23" s="213">
        <f t="shared" si="0"/>
        <v>-2149983.9323121272</v>
      </c>
      <c r="H23" s="213">
        <f t="shared" si="1"/>
        <v>-782684.14885101863</v>
      </c>
      <c r="I23" s="197">
        <v>0.41</v>
      </c>
      <c r="J23" s="214">
        <f>'5.MHAC Scaling'!D28</f>
        <v>-1.7241379310344775E-3</v>
      </c>
      <c r="K23" s="215">
        <f t="shared" si="2"/>
        <v>-323162.92528122111</v>
      </c>
      <c r="M23" s="216"/>
    </row>
    <row r="24" spans="1:13" ht="15">
      <c r="A24" s="196">
        <v>210005</v>
      </c>
      <c r="B24" s="196" t="s">
        <v>56</v>
      </c>
      <c r="C24" s="209">
        <f>VLOOKUP(A24,Revenue!$A$2:$C$47,3,0)</f>
        <v>189480762.70820984</v>
      </c>
      <c r="D24" s="210">
        <v>0.36</v>
      </c>
      <c r="E24" s="211">
        <v>0.38</v>
      </c>
      <c r="F24" s="212">
        <f>'5.MHAC Scaling'!C25</f>
        <v>-1.14705882352941E-2</v>
      </c>
      <c r="G24" s="213">
        <f t="shared" si="0"/>
        <v>-2173455.8075353447</v>
      </c>
      <c r="H24" s="213">
        <f t="shared" si="1"/>
        <v>-791228.89395581803</v>
      </c>
      <c r="I24" s="197">
        <v>0.42</v>
      </c>
      <c r="J24" s="214">
        <f>'5.MHAC Scaling'!D29</f>
        <v>-1.3793103448275796E-3</v>
      </c>
      <c r="K24" s="215">
        <f t="shared" si="2"/>
        <v>-261352.77614925371</v>
      </c>
      <c r="M24" s="216"/>
    </row>
    <row r="25" spans="1:13" ht="15">
      <c r="A25" s="196">
        <v>210011</v>
      </c>
      <c r="B25" s="196" t="s">
        <v>61</v>
      </c>
      <c r="C25" s="209">
        <f>VLOOKUP(A25,Revenue!$A$2:$C$47,3,0)</f>
        <v>239121555.83864471</v>
      </c>
      <c r="D25" s="210">
        <v>0.36</v>
      </c>
      <c r="E25" s="211">
        <v>0.39</v>
      </c>
      <c r="F25" s="212">
        <f>'5.MHAC Scaling'!C26</f>
        <v>-1.0588235294117631E-2</v>
      </c>
      <c r="G25" s="213">
        <f t="shared" si="0"/>
        <v>-2531875.2971150577</v>
      </c>
      <c r="H25" s="213">
        <f t="shared" si="1"/>
        <v>-921708.59146296571</v>
      </c>
      <c r="I25" s="197">
        <v>0.42</v>
      </c>
      <c r="J25" s="214">
        <f>'5.MHAC Scaling'!D29</f>
        <v>-1.3793103448275796E-3</v>
      </c>
      <c r="K25" s="215">
        <f t="shared" si="2"/>
        <v>-329822.83563950838</v>
      </c>
      <c r="M25" s="216"/>
    </row>
    <row r="26" spans="1:13" ht="15">
      <c r="A26" s="196">
        <v>210018</v>
      </c>
      <c r="B26" s="196" t="s">
        <v>67</v>
      </c>
      <c r="C26" s="209">
        <f>VLOOKUP(A26,Revenue!$A$2:$C$47,3,0)</f>
        <v>87652208.15841648</v>
      </c>
      <c r="D26" s="210">
        <v>0.37</v>
      </c>
      <c r="E26" s="211">
        <v>0.39</v>
      </c>
      <c r="F26" s="212">
        <f>'5.MHAC Scaling'!C26</f>
        <v>-1.0588235294117631E-2</v>
      </c>
      <c r="G26" s="213">
        <f t="shared" si="0"/>
        <v>-928082.20403029071</v>
      </c>
      <c r="H26" s="213">
        <f t="shared" si="1"/>
        <v>-337860.77142634662</v>
      </c>
      <c r="I26" s="197">
        <v>0.42</v>
      </c>
      <c r="J26" s="214">
        <f>'5.MHAC Scaling'!D29</f>
        <v>-1.3793103448275796E-3</v>
      </c>
      <c r="K26" s="215">
        <f t="shared" si="2"/>
        <v>-120899.59745988421</v>
      </c>
      <c r="M26" s="216"/>
    </row>
    <row r="27" spans="1:13" ht="15">
      <c r="A27" s="196">
        <v>210008</v>
      </c>
      <c r="B27" s="196" t="s">
        <v>58</v>
      </c>
      <c r="C27" s="209">
        <f>VLOOKUP(A27,Revenue!$A$2:$C$47,3,0)</f>
        <v>233163593.66479388</v>
      </c>
      <c r="D27" s="210">
        <v>0.38</v>
      </c>
      <c r="E27" s="236">
        <v>0.4</v>
      </c>
      <c r="F27" s="212">
        <f>'5.MHAC Scaling'!C27</f>
        <v>-9.7058823529411579E-3</v>
      </c>
      <c r="G27" s="213">
        <f t="shared" si="0"/>
        <v>-2263058.4090994657</v>
      </c>
      <c r="H27" s="213">
        <f t="shared" si="1"/>
        <v>-823847.99165513506</v>
      </c>
      <c r="I27" s="197">
        <v>0.44</v>
      </c>
      <c r="J27" s="214">
        <f>'5.MHAC Scaling'!D31</f>
        <v>-6.8965517241378546E-4</v>
      </c>
      <c r="K27" s="215">
        <f t="shared" si="2"/>
        <v>-160802.47838951123</v>
      </c>
      <c r="M27" s="216"/>
    </row>
    <row r="28" spans="1:13" ht="15">
      <c r="A28" s="196">
        <v>210010</v>
      </c>
      <c r="B28" s="196" t="s">
        <v>60</v>
      </c>
      <c r="C28" s="209">
        <f>VLOOKUP(A28,Revenue!$A$2:$C$47,3,0)</f>
        <v>25127934.983499374</v>
      </c>
      <c r="D28" s="210">
        <v>0.4</v>
      </c>
      <c r="E28" s="236">
        <v>0.4</v>
      </c>
      <c r="F28" s="212">
        <f>'5.MHAC Scaling'!C27</f>
        <v>-9.7058823529411579E-3</v>
      </c>
      <c r="G28" s="213">
        <f t="shared" si="0"/>
        <v>-243888.78072219936</v>
      </c>
      <c r="H28" s="213">
        <f t="shared" si="1"/>
        <v>-88785.725272180731</v>
      </c>
      <c r="I28" s="197">
        <v>0.44</v>
      </c>
      <c r="J28" s="214">
        <f>'5.MHAC Scaling'!D31</f>
        <v>-6.8965517241378546E-4</v>
      </c>
      <c r="K28" s="215">
        <f t="shared" si="2"/>
        <v>-17329.610333447654</v>
      </c>
      <c r="M28" s="216"/>
    </row>
    <row r="29" spans="1:13" ht="30">
      <c r="A29" s="196">
        <v>210027</v>
      </c>
      <c r="B29" s="196" t="s">
        <v>72</v>
      </c>
      <c r="C29" s="209">
        <f>VLOOKUP(A29,Revenue!$A$2:$C$47,3,0)</f>
        <v>184484265.97300443</v>
      </c>
      <c r="D29" s="210">
        <v>0.38</v>
      </c>
      <c r="E29" s="211">
        <v>0.41</v>
      </c>
      <c r="F29" s="212">
        <f>'5.MHAC Scaling'!C28</f>
        <v>-8.8235294117646884E-3</v>
      </c>
      <c r="G29" s="213">
        <f t="shared" si="0"/>
        <v>-1627802.3468206241</v>
      </c>
      <c r="H29" s="213">
        <f t="shared" si="1"/>
        <v>-592588.19341447426</v>
      </c>
      <c r="I29" s="197">
        <v>0.44</v>
      </c>
      <c r="J29" s="214">
        <f>'5.MHAC Scaling'!D31</f>
        <v>-6.8965517241378546E-4</v>
      </c>
      <c r="K29" s="215">
        <f t="shared" si="2"/>
        <v>-127230.52825724303</v>
      </c>
      <c r="M29" s="216"/>
    </row>
    <row r="30" spans="1:13" ht="15">
      <c r="A30" s="196">
        <v>210055</v>
      </c>
      <c r="B30" s="196" t="s">
        <v>90</v>
      </c>
      <c r="C30" s="209">
        <f>VLOOKUP(A30,Revenue!$A$2:$C$47,3,0)</f>
        <v>77501975.342135206</v>
      </c>
      <c r="D30" s="210">
        <v>0.4</v>
      </c>
      <c r="E30" s="211">
        <v>0.41</v>
      </c>
      <c r="F30" s="212">
        <f>'5.MHAC Scaling'!C28</f>
        <v>-8.8235294117646884E-3</v>
      </c>
      <c r="G30" s="213">
        <f t="shared" si="0"/>
        <v>-683840.9589011916</v>
      </c>
      <c r="H30" s="213">
        <f t="shared" si="1"/>
        <v>-248946.73435603169</v>
      </c>
      <c r="I30" s="197">
        <v>0.45</v>
      </c>
      <c r="J30" s="214">
        <f>'5.MHAC Scaling'!D32</f>
        <v>-3.4482758620688753E-4</v>
      </c>
      <c r="K30" s="215">
        <f t="shared" si="2"/>
        <v>-26724.8190834942</v>
      </c>
      <c r="M30" s="216"/>
    </row>
    <row r="31" spans="1:13">
      <c r="A31" s="196">
        <v>210015</v>
      </c>
      <c r="B31" s="196" t="s">
        <v>64</v>
      </c>
      <c r="C31" s="209">
        <f>VLOOKUP(A31,Revenue!$A$2:$C$47,3,0)</f>
        <v>285691170.35922825</v>
      </c>
      <c r="D31" s="210">
        <v>0.38</v>
      </c>
      <c r="E31" s="211">
        <v>0.41</v>
      </c>
      <c r="F31" s="212">
        <f>'5.MHAC Scaling'!C28</f>
        <v>-8.8235294117646884E-3</v>
      </c>
      <c r="G31" s="213">
        <f t="shared" si="0"/>
        <v>-2520804.4443461266</v>
      </c>
      <c r="H31" s="213">
        <f t="shared" si="1"/>
        <v>-917678.33763349301</v>
      </c>
      <c r="I31" s="198">
        <v>0.46</v>
      </c>
      <c r="J31" s="217">
        <f>'5.MHAC Scaling'!D33</f>
        <v>0</v>
      </c>
      <c r="K31" s="218">
        <f t="shared" si="2"/>
        <v>0</v>
      </c>
      <c r="M31" s="216"/>
    </row>
    <row r="32" spans="1:13" ht="15">
      <c r="A32" s="196">
        <v>210057</v>
      </c>
      <c r="B32" s="196" t="s">
        <v>92</v>
      </c>
      <c r="C32" s="209">
        <f>VLOOKUP(A32,Revenue!$A$2:$C$47,3,0)</f>
        <v>228731774.96088892</v>
      </c>
      <c r="D32" s="210">
        <v>0.42</v>
      </c>
      <c r="E32" s="211">
        <v>0.45</v>
      </c>
      <c r="F32" s="212">
        <f>'5.MHAC Scaling'!C32</f>
        <v>-5.2941176470587999E-3</v>
      </c>
      <c r="G32" s="213">
        <f t="shared" si="0"/>
        <v>-1210932.9262635242</v>
      </c>
      <c r="H32" s="213">
        <f t="shared" si="1"/>
        <v>-440830.27434022923</v>
      </c>
      <c r="I32" s="197">
        <v>0.48</v>
      </c>
      <c r="J32" s="217">
        <f>'5.MHAC Scaling'!D35</f>
        <v>0</v>
      </c>
      <c r="K32" s="218">
        <f t="shared" si="2"/>
        <v>0</v>
      </c>
      <c r="M32" s="216"/>
    </row>
    <row r="33" spans="1:13" ht="15">
      <c r="A33" s="196">
        <v>210038</v>
      </c>
      <c r="B33" s="196" t="s">
        <v>81</v>
      </c>
      <c r="C33" s="209">
        <f>VLOOKUP(A33,Revenue!$A$2:$C$47,3,0)</f>
        <v>133787810.98689511</v>
      </c>
      <c r="D33" s="210">
        <v>0.44</v>
      </c>
      <c r="E33" s="211">
        <v>0.46</v>
      </c>
      <c r="F33" s="212">
        <f>'5.MHAC Scaling'!C33</f>
        <v>-4.4117647058823269E-3</v>
      </c>
      <c r="G33" s="213">
        <f t="shared" si="0"/>
        <v>-590240.34258923971</v>
      </c>
      <c r="H33" s="213">
        <f t="shared" si="1"/>
        <v>-214872.19193316525</v>
      </c>
      <c r="I33" s="197">
        <v>0.49</v>
      </c>
      <c r="J33" s="217">
        <f>'5.MHAC Scaling'!D36</f>
        <v>0</v>
      </c>
      <c r="K33" s="218">
        <f t="shared" si="2"/>
        <v>0</v>
      </c>
      <c r="M33" s="216"/>
    </row>
    <row r="34" spans="1:13" ht="15">
      <c r="A34" s="196">
        <v>210006</v>
      </c>
      <c r="B34" s="196" t="s">
        <v>57</v>
      </c>
      <c r="C34" s="209">
        <f>VLOOKUP(A34,Revenue!$A$2:$C$47,3,0)</f>
        <v>47089618.293410309</v>
      </c>
      <c r="D34" s="210">
        <v>0.48</v>
      </c>
      <c r="E34" s="211">
        <v>0.49</v>
      </c>
      <c r="F34" s="212">
        <f>'5.MHAC Scaling'!C36</f>
        <v>-1.7647058823529148E-3</v>
      </c>
      <c r="G34" s="213">
        <f t="shared" si="0"/>
        <v>-83099.326400134596</v>
      </c>
      <c r="H34" s="213">
        <f t="shared" si="1"/>
        <v>-30251.633315062361</v>
      </c>
      <c r="I34" s="197">
        <v>0.51</v>
      </c>
      <c r="J34" s="217">
        <f>'5.MHAC Scaling'!D38</f>
        <v>0</v>
      </c>
      <c r="K34" s="218">
        <f t="shared" si="2"/>
        <v>0</v>
      </c>
      <c r="M34" s="216"/>
    </row>
    <row r="35" spans="1:13" ht="15">
      <c r="A35" s="196">
        <v>210037</v>
      </c>
      <c r="B35" s="196" t="s">
        <v>80</v>
      </c>
      <c r="C35" s="209">
        <f>VLOOKUP(A35,Revenue!$A$2:$C$47,3,0)</f>
        <v>94828131.850859523</v>
      </c>
      <c r="D35" s="210">
        <v>0.45</v>
      </c>
      <c r="E35" s="211">
        <v>0.48</v>
      </c>
      <c r="F35" s="212">
        <f>'5.MHAC Scaling'!C35</f>
        <v>-2.6470588235293843E-3</v>
      </c>
      <c r="G35" s="213">
        <f t="shared" si="0"/>
        <v>-251015.64313462554</v>
      </c>
      <c r="H35" s="213">
        <f t="shared" si="1"/>
        <v>-91380.201517986599</v>
      </c>
      <c r="I35" s="197">
        <v>0.52</v>
      </c>
      <c r="J35" s="217">
        <f>'5.MHAC Scaling'!D39</f>
        <v>0</v>
      </c>
      <c r="K35" s="218">
        <f t="shared" si="2"/>
        <v>0</v>
      </c>
      <c r="M35" s="216"/>
    </row>
    <row r="36" spans="1:13" ht="15">
      <c r="A36" s="196">
        <v>210058</v>
      </c>
      <c r="B36" s="196" t="s">
        <v>93</v>
      </c>
      <c r="C36" s="209">
        <f>VLOOKUP(A36,Revenue!$A$2:$C$47,3,0)</f>
        <v>69104845.787293941</v>
      </c>
      <c r="D36" s="210">
        <v>0.47</v>
      </c>
      <c r="E36" s="211">
        <v>0.49</v>
      </c>
      <c r="F36" s="212">
        <f>'5.MHAC Scaling'!C36</f>
        <v>-1.7647058823529148E-3</v>
      </c>
      <c r="G36" s="213">
        <f t="shared" si="0"/>
        <v>-121949.72785992867</v>
      </c>
      <c r="H36" s="213">
        <f t="shared" si="1"/>
        <v>-44394.805709089735</v>
      </c>
      <c r="I36" s="197">
        <v>0.53</v>
      </c>
      <c r="J36" s="217">
        <f>'5.MHAC Scaling'!D40</f>
        <v>0</v>
      </c>
      <c r="K36" s="218">
        <f t="shared" si="2"/>
        <v>0</v>
      </c>
      <c r="M36" s="216"/>
    </row>
    <row r="37" spans="1:13" ht="30.6">
      <c r="A37" s="196">
        <v>210032</v>
      </c>
      <c r="B37" s="196" t="s">
        <v>76</v>
      </c>
      <c r="C37" s="209">
        <f>VLOOKUP(A37,Revenue!$A$2:$C$47,3,0)</f>
        <v>67852188.547545061</v>
      </c>
      <c r="D37" s="210">
        <v>0.49</v>
      </c>
      <c r="E37" s="219">
        <v>0.51</v>
      </c>
      <c r="F37" s="217">
        <f>'5.MHAC Scaling'!C38</f>
        <v>0</v>
      </c>
      <c r="G37" s="218">
        <f t="shared" si="0"/>
        <v>0</v>
      </c>
      <c r="H37" s="218">
        <f t="shared" si="1"/>
        <v>0</v>
      </c>
      <c r="I37" s="197">
        <v>0.54</v>
      </c>
      <c r="J37" s="217">
        <f>'5.MHAC Scaling'!D41</f>
        <v>0</v>
      </c>
      <c r="K37" s="218">
        <f t="shared" si="2"/>
        <v>0</v>
      </c>
      <c r="M37" s="216"/>
    </row>
    <row r="38" spans="1:13" ht="15">
      <c r="A38" s="196">
        <v>210039</v>
      </c>
      <c r="B38" s="196" t="s">
        <v>82</v>
      </c>
      <c r="C38" s="209">
        <f>VLOOKUP(A38,Revenue!$A$2:$C$47,3,0)</f>
        <v>67385286.839919657</v>
      </c>
      <c r="D38" s="210">
        <v>0.48</v>
      </c>
      <c r="E38" s="211">
        <v>0.51</v>
      </c>
      <c r="F38" s="217">
        <f>'5.MHAC Scaling'!C38</f>
        <v>0</v>
      </c>
      <c r="G38" s="218">
        <f t="shared" si="0"/>
        <v>0</v>
      </c>
      <c r="H38" s="218">
        <f t="shared" si="1"/>
        <v>0</v>
      </c>
      <c r="I38" s="197">
        <v>0.55000000000000004</v>
      </c>
      <c r="J38" s="217">
        <f>'5.MHAC Scaling'!D42</f>
        <v>0</v>
      </c>
      <c r="K38" s="218">
        <f t="shared" si="2"/>
        <v>0</v>
      </c>
      <c r="M38" s="216"/>
    </row>
    <row r="39" spans="1:13" ht="15">
      <c r="A39" s="196">
        <v>210003</v>
      </c>
      <c r="B39" s="196" t="s">
        <v>54</v>
      </c>
      <c r="C39" s="209">
        <f>VLOOKUP(A39,Revenue!$A$2:$C$47,3,0)</f>
        <v>177243165.22063905</v>
      </c>
      <c r="D39" s="210">
        <v>0.5</v>
      </c>
      <c r="E39" s="211">
        <v>0.52</v>
      </c>
      <c r="F39" s="217">
        <f>'5.MHAC Scaling'!C39</f>
        <v>0</v>
      </c>
      <c r="G39" s="218">
        <f t="shared" si="0"/>
        <v>0</v>
      </c>
      <c r="H39" s="218">
        <f t="shared" si="1"/>
        <v>0</v>
      </c>
      <c r="I39" s="197">
        <v>0.55000000000000004</v>
      </c>
      <c r="J39" s="217">
        <f>'5.MHAC Scaling'!D42</f>
        <v>0</v>
      </c>
      <c r="K39" s="218">
        <f t="shared" si="2"/>
        <v>0</v>
      </c>
      <c r="M39" s="216"/>
    </row>
    <row r="40" spans="1:13" ht="15">
      <c r="A40" s="196">
        <v>210017</v>
      </c>
      <c r="B40" s="196" t="s">
        <v>66</v>
      </c>
      <c r="C40" s="209">
        <f>VLOOKUP(A40,Revenue!$A$2:$C$47,3,0)</f>
        <v>18724073.644907132</v>
      </c>
      <c r="D40" s="210">
        <v>0.5</v>
      </c>
      <c r="E40" s="211">
        <v>0.53</v>
      </c>
      <c r="F40" s="217">
        <f>'5.MHAC Scaling'!C40</f>
        <v>0</v>
      </c>
      <c r="G40" s="218">
        <f t="shared" si="0"/>
        <v>0</v>
      </c>
      <c r="H40" s="218">
        <f t="shared" si="1"/>
        <v>0</v>
      </c>
      <c r="I40" s="197">
        <v>0.56999999999999995</v>
      </c>
      <c r="J40" s="217">
        <f>'5.MHAC Scaling'!D44</f>
        <v>0</v>
      </c>
      <c r="K40" s="218">
        <f t="shared" si="2"/>
        <v>0</v>
      </c>
      <c r="M40" s="216"/>
    </row>
    <row r="41" spans="1:13" ht="15">
      <c r="A41" s="196">
        <v>210056</v>
      </c>
      <c r="B41" s="196" t="s">
        <v>91</v>
      </c>
      <c r="C41" s="209">
        <f>VLOOKUP(A41,Revenue!$A$2:$C$47,3,0)</f>
        <v>180861011.49427712</v>
      </c>
      <c r="D41" s="210">
        <v>0.52</v>
      </c>
      <c r="E41" s="211">
        <v>0.54</v>
      </c>
      <c r="F41" s="217">
        <f>'5.MHAC Scaling'!C41</f>
        <v>0</v>
      </c>
      <c r="G41" s="218">
        <f t="shared" si="0"/>
        <v>0</v>
      </c>
      <c r="H41" s="218">
        <f t="shared" si="1"/>
        <v>0</v>
      </c>
      <c r="I41" s="197">
        <v>0.56999999999999995</v>
      </c>
      <c r="J41" s="217">
        <f>'5.MHAC Scaling'!D44</f>
        <v>0</v>
      </c>
      <c r="K41" s="218">
        <f t="shared" si="2"/>
        <v>0</v>
      </c>
      <c r="M41" s="216"/>
    </row>
    <row r="42" spans="1:13" ht="15">
      <c r="A42" s="196">
        <v>210029</v>
      </c>
      <c r="B42" s="196" t="s">
        <v>74</v>
      </c>
      <c r="C42" s="209">
        <f>VLOOKUP(A42,Revenue!$A$2:$C$47,3,0)</f>
        <v>356396901.46731883</v>
      </c>
      <c r="D42" s="210">
        <v>0.55000000000000004</v>
      </c>
      <c r="E42" s="211">
        <v>0.57999999999999996</v>
      </c>
      <c r="F42" s="217">
        <f>'5.MHAC Scaling'!C45</f>
        <v>0</v>
      </c>
      <c r="G42" s="218">
        <f t="shared" si="0"/>
        <v>0</v>
      </c>
      <c r="H42" s="218">
        <f t="shared" si="1"/>
        <v>0</v>
      </c>
      <c r="I42" s="197">
        <v>0.6</v>
      </c>
      <c r="J42" s="217">
        <f>'5.MHAC Scaling'!D47</f>
        <v>0</v>
      </c>
      <c r="K42" s="218">
        <f t="shared" si="2"/>
        <v>0</v>
      </c>
      <c r="M42" s="216"/>
    </row>
    <row r="43" spans="1:13" ht="15">
      <c r="A43" s="196">
        <v>210028</v>
      </c>
      <c r="B43" s="196" t="s">
        <v>73</v>
      </c>
      <c r="C43" s="209">
        <f>VLOOKUP(A43,Revenue!$A$2:$C$47,3,0)</f>
        <v>69520305.288439929</v>
      </c>
      <c r="D43" s="210">
        <v>0.55000000000000004</v>
      </c>
      <c r="E43" s="211">
        <v>0.57999999999999996</v>
      </c>
      <c r="F43" s="217">
        <f>'5.MHAC Scaling'!C45</f>
        <v>0</v>
      </c>
      <c r="G43" s="218">
        <f t="shared" si="0"/>
        <v>0</v>
      </c>
      <c r="H43" s="218">
        <f t="shared" si="1"/>
        <v>0</v>
      </c>
      <c r="I43" s="197">
        <v>0.61</v>
      </c>
      <c r="J43" s="217">
        <f>'5.MHAC Scaling'!D48</f>
        <v>1.7347234759768071E-17</v>
      </c>
      <c r="K43" s="218">
        <f t="shared" si="2"/>
        <v>1.2059850564093132E-9</v>
      </c>
      <c r="M43" s="216"/>
    </row>
    <row r="44" spans="1:13" ht="15">
      <c r="A44" s="196">
        <v>210060</v>
      </c>
      <c r="B44" s="196" t="s">
        <v>94</v>
      </c>
      <c r="C44" s="209">
        <f>VLOOKUP(A44,Revenue!$A$2:$C$47,3,0)</f>
        <v>17776133.449990414</v>
      </c>
      <c r="D44" s="210">
        <v>0.55000000000000004</v>
      </c>
      <c r="E44" s="211">
        <v>0.57999999999999996</v>
      </c>
      <c r="F44" s="217">
        <f>'5.MHAC Scaling'!C45</f>
        <v>0</v>
      </c>
      <c r="G44" s="218">
        <f t="shared" si="0"/>
        <v>0</v>
      </c>
      <c r="H44" s="218">
        <f t="shared" si="1"/>
        <v>0</v>
      </c>
      <c r="I44" s="197">
        <v>0.61</v>
      </c>
      <c r="J44" s="217">
        <f>'5.MHAC Scaling'!D48</f>
        <v>1.7347234759768071E-17</v>
      </c>
      <c r="K44" s="218">
        <f t="shared" si="2"/>
        <v>3.0836676007794966E-10</v>
      </c>
      <c r="M44" s="216"/>
    </row>
    <row r="45" spans="1:13">
      <c r="A45" s="196">
        <v>210061</v>
      </c>
      <c r="B45" s="196" t="s">
        <v>95</v>
      </c>
      <c r="C45" s="209">
        <f>VLOOKUP(A45,Revenue!$A$2:$C$47,3,0)</f>
        <v>38640762.060988352</v>
      </c>
      <c r="D45" s="210">
        <v>0.57999999999999996</v>
      </c>
      <c r="E45" s="211">
        <v>0.59</v>
      </c>
      <c r="F45" s="217">
        <f>'5.MHAC Scaling'!C46</f>
        <v>0</v>
      </c>
      <c r="G45" s="218">
        <f t="shared" si="0"/>
        <v>0</v>
      </c>
      <c r="H45" s="218">
        <f t="shared" si="1"/>
        <v>0</v>
      </c>
      <c r="I45" s="198">
        <v>0.62</v>
      </c>
      <c r="J45" s="220">
        <f>'5.MHAC Scaling'!D49</f>
        <v>5.2631578947370285E-4</v>
      </c>
      <c r="K45" s="221">
        <f t="shared" si="2"/>
        <v>20337.243189994588</v>
      </c>
      <c r="M45" s="216"/>
    </row>
    <row r="46" spans="1:13" ht="15">
      <c r="A46" s="196">
        <v>210035</v>
      </c>
      <c r="B46" s="196" t="s">
        <v>79</v>
      </c>
      <c r="C46" s="209">
        <f>VLOOKUP(A46,Revenue!$A$2:$C$47,3,0)</f>
        <v>76338049.290417254</v>
      </c>
      <c r="D46" s="210">
        <v>0.59</v>
      </c>
      <c r="E46" s="211">
        <v>0.61</v>
      </c>
      <c r="F46" s="217">
        <f>'5.MHAC Scaling'!C48</f>
        <v>0</v>
      </c>
      <c r="G46" s="218">
        <f t="shared" si="0"/>
        <v>0</v>
      </c>
      <c r="H46" s="218">
        <f t="shared" si="1"/>
        <v>0</v>
      </c>
      <c r="I46" s="197">
        <v>0.63</v>
      </c>
      <c r="J46" s="220">
        <f>'5.MHAC Scaling'!D50</f>
        <v>1.0526315789473866E-3</v>
      </c>
      <c r="K46" s="221">
        <f t="shared" si="2"/>
        <v>80355.841358335339</v>
      </c>
      <c r="M46" s="216"/>
    </row>
    <row r="47" spans="1:13" ht="15">
      <c r="A47" s="196">
        <v>210013</v>
      </c>
      <c r="B47" s="196" t="s">
        <v>63</v>
      </c>
      <c r="C47" s="209">
        <f>VLOOKUP(A47,Revenue!$A$2:$C$47,3,0)</f>
        <v>78212787.330636472</v>
      </c>
      <c r="D47" s="210">
        <v>0.64</v>
      </c>
      <c r="E47" s="211">
        <v>0.65</v>
      </c>
      <c r="F47" s="217">
        <f>'5.MHAC Scaling'!C52</f>
        <v>0</v>
      </c>
      <c r="G47" s="218">
        <f t="shared" si="0"/>
        <v>0</v>
      </c>
      <c r="H47" s="218">
        <f t="shared" si="1"/>
        <v>0</v>
      </c>
      <c r="I47" s="197">
        <v>0.68</v>
      </c>
      <c r="J47" s="220">
        <f>'5.MHAC Scaling'!D55</f>
        <v>3.6842105263158098E-3</v>
      </c>
      <c r="K47" s="221">
        <f t="shared" si="2"/>
        <v>288152.3743760307</v>
      </c>
      <c r="M47" s="216"/>
    </row>
    <row r="48" spans="1:13" ht="15">
      <c r="A48" s="196">
        <v>210030</v>
      </c>
      <c r="B48" s="196" t="s">
        <v>75</v>
      </c>
      <c r="C48" s="209">
        <f>VLOOKUP(A48,Revenue!$A$2:$C$47,3,0)</f>
        <v>29416674.305924561</v>
      </c>
      <c r="D48" s="210">
        <v>0.81</v>
      </c>
      <c r="E48" s="211">
        <v>0.82</v>
      </c>
      <c r="F48" s="217">
        <f>'5.MHAC Scaling'!C67</f>
        <v>0</v>
      </c>
      <c r="G48" s="218">
        <f t="shared" si="0"/>
        <v>0</v>
      </c>
      <c r="H48" s="218">
        <f t="shared" si="1"/>
        <v>0</v>
      </c>
      <c r="I48" s="197">
        <v>0.84</v>
      </c>
      <c r="J48" s="220">
        <f>'5.MHAC Scaling'!D67</f>
        <v>0.01</v>
      </c>
      <c r="K48" s="221">
        <f t="shared" si="2"/>
        <v>294166.74305924564</v>
      </c>
      <c r="M48" s="216"/>
    </row>
    <row r="49" spans="1:13" ht="15">
      <c r="A49" s="196">
        <v>210045</v>
      </c>
      <c r="B49" s="196" t="s">
        <v>86</v>
      </c>
      <c r="C49" s="209">
        <f>VLOOKUP(A49,Revenue!$A$2:$C$47,3,0)</f>
        <v>3734618.2392469109</v>
      </c>
      <c r="D49" s="210">
        <v>1</v>
      </c>
      <c r="E49" s="211">
        <v>1</v>
      </c>
      <c r="F49" s="217">
        <f>'5.MHAC Scaling'!C67</f>
        <v>0</v>
      </c>
      <c r="G49" s="218">
        <f t="shared" si="0"/>
        <v>0</v>
      </c>
      <c r="H49" s="218">
        <f t="shared" si="1"/>
        <v>0</v>
      </c>
      <c r="I49" s="197">
        <v>1</v>
      </c>
      <c r="J49" s="220">
        <f>'5.MHAC Scaling'!D67</f>
        <v>0.01</v>
      </c>
      <c r="K49" s="221">
        <f t="shared" si="2"/>
        <v>37346.182392469113</v>
      </c>
      <c r="M49" s="216"/>
    </row>
    <row r="50" spans="1:13" s="242" customFormat="1" ht="15">
      <c r="A50" s="237" t="s">
        <v>175</v>
      </c>
      <c r="B50" s="237"/>
      <c r="C50" s="225">
        <f>SUM(C4:C49)</f>
        <v>8961031432.293478</v>
      </c>
      <c r="D50" s="238"/>
      <c r="E50" s="238"/>
      <c r="F50" s="239"/>
      <c r="G50" s="240">
        <f>SUM(G4:G49)</f>
        <v>-123076937.38692373</v>
      </c>
      <c r="H50" s="240">
        <f>SUM(H4:H49)</f>
        <v>-44805157.161467366</v>
      </c>
      <c r="I50" s="241"/>
      <c r="J50" s="240"/>
      <c r="K50" s="240">
        <f>SUM(K4:K49)</f>
        <v>-24534053.465314098</v>
      </c>
      <c r="M50" s="243"/>
    </row>
    <row r="51" spans="1:13">
      <c r="A51" s="200" t="s">
        <v>111</v>
      </c>
      <c r="G51" s="223">
        <f>SUMIF(G4:G49,"&lt;0",G4:G49)</f>
        <v>-123076937.38692373</v>
      </c>
      <c r="H51" s="223">
        <f>SUMIF(H4:H49,"&lt;0",H4:H49)</f>
        <v>-44805157.161467366</v>
      </c>
      <c r="K51" s="223">
        <f>SUMIF(K4:K49,"&lt;0",K4:K49)</f>
        <v>-25254411.849690173</v>
      </c>
      <c r="L51" s="223"/>
    </row>
    <row r="52" spans="1:13">
      <c r="A52" s="244" t="s">
        <v>209</v>
      </c>
      <c r="G52" s="224">
        <f>G51/SUM(Revenue!$C$2:$C$47)</f>
        <v>-1.373468426228068E-2</v>
      </c>
      <c r="H52" s="223"/>
      <c r="K52" s="224">
        <f>K51/SUM(Revenue!$C$2:$C$47)</f>
        <v>-2.8182483278296664E-3</v>
      </c>
      <c r="L52" s="223"/>
    </row>
    <row r="53" spans="1:13">
      <c r="A53" s="200" t="s">
        <v>110</v>
      </c>
      <c r="G53" s="223">
        <f>SUMIF(G3:G49,"&gt;0",G3:G49)</f>
        <v>0</v>
      </c>
      <c r="H53" s="223">
        <f>SUMIF(H3:H48,"&gt;0",H3:H48)</f>
        <v>0</v>
      </c>
      <c r="K53" s="223">
        <f>SUMIF(K3:K49,"&gt;0",K3:K49)</f>
        <v>720358.38437607698</v>
      </c>
      <c r="L53" s="223"/>
    </row>
    <row r="54" spans="1:13">
      <c r="A54" s="244" t="s">
        <v>209</v>
      </c>
      <c r="D54" s="225"/>
    </row>
    <row r="55" spans="1:13">
      <c r="G55" s="223"/>
      <c r="H55" s="223"/>
      <c r="K55" s="227"/>
    </row>
    <row r="56" spans="1:13" s="199" customFormat="1">
      <c r="A56" s="199" t="s">
        <v>109</v>
      </c>
      <c r="E56" s="222"/>
      <c r="G56" s="228">
        <f>'[3]A-Scaling Parameters'!E5</f>
        <v>-5.0000000000000001E-3</v>
      </c>
      <c r="H56" s="229"/>
      <c r="K56" s="230"/>
    </row>
    <row r="57" spans="1:13" s="199" customFormat="1">
      <c r="A57" s="199" t="s">
        <v>108</v>
      </c>
      <c r="E57" s="222"/>
      <c r="G57" s="231">
        <f>$C$50*G56</f>
        <v>-44805157.161467388</v>
      </c>
      <c r="H57" s="232"/>
      <c r="K57" s="230"/>
    </row>
    <row r="58" spans="1:13">
      <c r="A58" s="200" t="s">
        <v>107</v>
      </c>
      <c r="H58" s="233">
        <f>IF(G51&lt;G57,G51/G57,1)</f>
        <v>2.7469368524561362</v>
      </c>
    </row>
    <row r="60" spans="1:13">
      <c r="A60" s="216"/>
    </row>
  </sheetData>
  <sortState ref="A5:K50">
    <sortCondition ref="I5:I50"/>
  </sortState>
  <mergeCells count="2">
    <mergeCell ref="E1:F1"/>
    <mergeCell ref="G1:H1"/>
  </mergeCells>
  <pageMargins left="0.7" right="0.7" top="0.75" bottom="0.75" header="0.3" footer="0.3"/>
  <pageSetup scale="40" orientation="portrait" r:id="rId1"/>
  <headerFooter>
    <oddFooter>&amp;CHSCRC Work Group Meeting
Feb 2, 2015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workbookViewId="0">
      <selection activeCell="E15" sqref="E15"/>
    </sheetView>
  </sheetViews>
  <sheetFormatPr defaultRowHeight="14.4"/>
  <cols>
    <col min="1" max="1" width="30.109375" customWidth="1"/>
    <col min="2" max="2" width="9.6640625" customWidth="1"/>
    <col min="3" max="3" width="10.5546875" customWidth="1"/>
    <col min="4" max="4" width="10.44140625" customWidth="1"/>
    <col min="9" max="9" width="29.44140625" customWidth="1"/>
    <col min="10" max="10" width="21" customWidth="1"/>
    <col min="11" max="11" width="15.6640625" customWidth="1"/>
    <col min="12" max="12" width="19.44140625" customWidth="1"/>
  </cols>
  <sheetData>
    <row r="1" spans="1:12" s="276" customFormat="1">
      <c r="A1" s="31" t="s">
        <v>247</v>
      </c>
    </row>
    <row r="2" spans="1:12">
      <c r="A2" s="31" t="s">
        <v>166</v>
      </c>
      <c r="I2" s="31" t="s">
        <v>155</v>
      </c>
      <c r="J2" s="11"/>
    </row>
    <row r="3" spans="1:12" s="11" customFormat="1" ht="28.8">
      <c r="A3" s="326"/>
      <c r="B3" s="327" t="s">
        <v>162</v>
      </c>
      <c r="C3" s="327" t="s">
        <v>220</v>
      </c>
      <c r="D3" s="264" t="s">
        <v>165</v>
      </c>
      <c r="I3" s="264"/>
      <c r="J3" s="264" t="s">
        <v>157</v>
      </c>
      <c r="K3" s="301" t="s">
        <v>156</v>
      </c>
      <c r="L3" s="302" t="s">
        <v>224</v>
      </c>
    </row>
    <row r="4" spans="1:12" s="11" customFormat="1">
      <c r="A4" s="249" t="s">
        <v>163</v>
      </c>
      <c r="B4" s="315">
        <v>-0.03</v>
      </c>
      <c r="C4" s="312">
        <v>0</v>
      </c>
      <c r="D4" s="249"/>
      <c r="I4" s="250" t="s">
        <v>236</v>
      </c>
      <c r="J4" s="251">
        <f>'6.MHAC Modeling Results'!G51</f>
        <v>-123076937.38692373</v>
      </c>
      <c r="K4" s="251">
        <f>'6.MHAC Modeling Results'!G53</f>
        <v>0</v>
      </c>
      <c r="L4" s="256">
        <f>SUM(J4:K4)</f>
        <v>-123076937.38692373</v>
      </c>
    </row>
    <row r="5" spans="1:12" s="11" customFormat="1">
      <c r="A5" s="249" t="s">
        <v>164</v>
      </c>
      <c r="B5" s="315">
        <v>-0.01</v>
      </c>
      <c r="C5" s="312">
        <v>0.01</v>
      </c>
      <c r="D5" s="249"/>
      <c r="I5" s="279" t="s">
        <v>251</v>
      </c>
      <c r="J5" s="252">
        <f>'6.MHAC Modeling Results'!H51</f>
        <v>-44805157.161467366</v>
      </c>
      <c r="K5" s="280">
        <f>'6.MHAC Modeling Results'!H53</f>
        <v>0</v>
      </c>
      <c r="L5" s="256">
        <f t="shared" ref="L5:L12" si="0">SUM(J5:K5)</f>
        <v>-44805157.161467366</v>
      </c>
    </row>
    <row r="6" spans="1:12" s="11" customFormat="1">
      <c r="A6" s="249" t="s">
        <v>153</v>
      </c>
      <c r="B6" s="315">
        <v>-0.02</v>
      </c>
      <c r="C6" s="312">
        <v>0.01</v>
      </c>
      <c r="D6" s="249"/>
      <c r="I6" s="86" t="s">
        <v>158</v>
      </c>
      <c r="J6" s="252">
        <f>'6.MHAC Modeling Results'!K51</f>
        <v>-25254411.849690173</v>
      </c>
      <c r="K6" s="252">
        <f>'6.MHAC Modeling Results'!K53</f>
        <v>720358.38437607698</v>
      </c>
      <c r="L6" s="256">
        <f t="shared" si="0"/>
        <v>-24534053.465314098</v>
      </c>
    </row>
    <row r="7" spans="1:12" s="11" customFormat="1">
      <c r="A7" s="249" t="s">
        <v>136</v>
      </c>
      <c r="B7" s="315">
        <v>-0.02</v>
      </c>
      <c r="C7" s="312">
        <v>0.01</v>
      </c>
      <c r="D7" s="249"/>
      <c r="I7" s="86"/>
      <c r="J7" s="252"/>
      <c r="K7" s="252"/>
      <c r="L7" s="253"/>
    </row>
    <row r="8" spans="1:12" s="11" customFormat="1">
      <c r="A8" s="249" t="s">
        <v>154</v>
      </c>
      <c r="B8" s="260">
        <v>-1.2281676292830073E-2</v>
      </c>
      <c r="C8" s="260">
        <v>0</v>
      </c>
      <c r="D8" s="268">
        <v>-6.0000000000000001E-3</v>
      </c>
      <c r="I8" s="279" t="s">
        <v>210</v>
      </c>
      <c r="J8" s="252">
        <f>'2.RRIP Modeling Results'!Y50</f>
        <v>-35628019.1963825</v>
      </c>
      <c r="K8" s="252">
        <f>'2.RRIP Modeling Results'!Y51</f>
        <v>42867427.6238437</v>
      </c>
      <c r="L8" s="256">
        <f t="shared" si="0"/>
        <v>7239408.4274611995</v>
      </c>
    </row>
    <row r="9" spans="1:12" s="11" customFormat="1">
      <c r="A9" s="262" t="s">
        <v>176</v>
      </c>
      <c r="B9" s="261">
        <v>-8.5571380478131568E-3</v>
      </c>
      <c r="C9" s="260">
        <v>0</v>
      </c>
      <c r="D9" s="249"/>
      <c r="I9" s="279" t="s">
        <v>211</v>
      </c>
      <c r="J9" s="252">
        <f>'2.RRIP Modeling Results'!AA50</f>
        <v>-35628019.1963825</v>
      </c>
      <c r="K9" s="252">
        <f>'2.RRIP Modeling Results'!AA51</f>
        <v>24575923.391207073</v>
      </c>
      <c r="L9" s="256">
        <f t="shared" si="0"/>
        <v>-11052095.805175427</v>
      </c>
    </row>
    <row r="10" spans="1:12" s="11" customFormat="1">
      <c r="A10" s="262" t="s">
        <v>177</v>
      </c>
      <c r="B10" s="261">
        <v>-5.4179932714455434E-3</v>
      </c>
      <c r="C10" s="260">
        <v>0</v>
      </c>
      <c r="D10" s="249"/>
      <c r="I10" s="279" t="s">
        <v>212</v>
      </c>
      <c r="J10" s="252">
        <f>'2.RRIP Modeling Results'!AC50</f>
        <v>-16761082.975580852</v>
      </c>
      <c r="K10" s="252">
        <f>'2.RRIP Modeling Results'!AC51</f>
        <v>49151846.782414146</v>
      </c>
      <c r="L10" s="256">
        <f t="shared" si="0"/>
        <v>32390763.806833293</v>
      </c>
    </row>
    <row r="11" spans="1:12" s="11" customFormat="1">
      <c r="A11" s="254"/>
      <c r="B11" s="254"/>
      <c r="C11" s="254"/>
      <c r="D11" s="254"/>
      <c r="I11" s="279"/>
      <c r="J11" s="280"/>
      <c r="K11" s="252"/>
      <c r="L11" s="253"/>
    </row>
    <row r="12" spans="1:12" s="11" customFormat="1">
      <c r="F12"/>
      <c r="I12" s="279" t="s">
        <v>173</v>
      </c>
      <c r="J12" s="252">
        <f>'4.QBR Modeling Results'!F48</f>
        <v>-24158764.185991321</v>
      </c>
      <c r="K12" s="252">
        <f>'4.QBR Modeling Results'!F50</f>
        <v>32845657.554473672</v>
      </c>
      <c r="L12" s="256">
        <f t="shared" si="0"/>
        <v>8686893.3684823513</v>
      </c>
    </row>
    <row r="13" spans="1:12" s="11" customFormat="1">
      <c r="A13" s="31" t="s">
        <v>133</v>
      </c>
      <c r="F13"/>
      <c r="I13" s="313" t="s">
        <v>174</v>
      </c>
      <c r="J13" s="259">
        <f>'4.QBR Modeling Results'!I48</f>
        <v>-24158764.185991321</v>
      </c>
      <c r="K13" s="259">
        <f>'4.QBR Modeling Results'!I50</f>
        <v>21919343.227267541</v>
      </c>
      <c r="L13" s="314">
        <f>SUM(J13:K13)</f>
        <v>-2239420.9587237798</v>
      </c>
    </row>
    <row r="14" spans="1:12" s="11" customFormat="1">
      <c r="A14" s="11" t="s">
        <v>242</v>
      </c>
      <c r="F14"/>
      <c r="I14" s="279"/>
      <c r="J14" s="280"/>
      <c r="K14" s="280"/>
      <c r="L14" s="253"/>
    </row>
    <row r="15" spans="1:12" s="11" customFormat="1">
      <c r="A15" s="57" t="s">
        <v>134</v>
      </c>
      <c r="B15" s="58">
        <v>2014</v>
      </c>
      <c r="C15" s="58">
        <v>2015</v>
      </c>
      <c r="D15" s="59">
        <v>2016</v>
      </c>
      <c r="E15" s="60">
        <v>2017</v>
      </c>
      <c r="F15"/>
      <c r="I15" s="317" t="s">
        <v>223</v>
      </c>
      <c r="J15" s="292"/>
      <c r="K15" s="292"/>
      <c r="L15" s="318"/>
    </row>
    <row r="16" spans="1:12" s="11" customFormat="1">
      <c r="A16" s="61" t="s">
        <v>135</v>
      </c>
      <c r="B16" s="85">
        <v>0.02</v>
      </c>
      <c r="C16" s="85">
        <v>0.03</v>
      </c>
      <c r="D16" s="85">
        <v>0.04</v>
      </c>
      <c r="E16" s="316">
        <f>-B4</f>
        <v>0.03</v>
      </c>
      <c r="F16"/>
      <c r="I16" s="255" t="s">
        <v>226</v>
      </c>
      <c r="J16" s="252">
        <f>SUMIF('8.Consolidated'!$J$3:$J$48,"&lt;0")</f>
        <v>-128705558.63959523</v>
      </c>
      <c r="K16" s="252">
        <f>SUMIF('8.Consolidated'!$J$3:$J$48,"&gt;0")</f>
        <v>10628608.7214089</v>
      </c>
      <c r="L16" s="256">
        <f>SUM(J16:K16)</f>
        <v>-118076949.91818632</v>
      </c>
    </row>
    <row r="17" spans="1:12" s="11" customFormat="1">
      <c r="A17" s="61" t="s">
        <v>153</v>
      </c>
      <c r="B17" s="85"/>
      <c r="C17" s="85"/>
      <c r="D17" s="85">
        <v>5.0000000000000001E-3</v>
      </c>
      <c r="E17" s="316">
        <f>-B6</f>
        <v>0.02</v>
      </c>
      <c r="I17" s="255" t="s">
        <v>235</v>
      </c>
      <c r="J17" s="328">
        <f>MIN('8.Consolidated'!$I$3:$I$48)</f>
        <v>-5.3768094831599014E-2</v>
      </c>
      <c r="K17" s="328">
        <f>MAX('8.Consolidated'!$I$3:$I$48)</f>
        <v>0.02</v>
      </c>
      <c r="L17" s="256"/>
    </row>
    <row r="18" spans="1:12" s="11" customFormat="1">
      <c r="A18" s="61" t="s">
        <v>154</v>
      </c>
      <c r="B18" s="62">
        <v>4.1000000000000003E-3</v>
      </c>
      <c r="C18" s="62">
        <v>8.6E-3</v>
      </c>
      <c r="D18" s="62">
        <f>C18</f>
        <v>8.6E-3</v>
      </c>
      <c r="E18" s="63">
        <f>-B8</f>
        <v>1.2281676292830073E-2</v>
      </c>
      <c r="F18"/>
      <c r="I18" s="303" t="s">
        <v>225</v>
      </c>
      <c r="J18" s="257">
        <f>J16/'8.Consolidated'!$C$49</f>
        <v>-1.4362806292116132E-2</v>
      </c>
      <c r="K18" s="257">
        <f>K16/'8.Consolidated'!$C$49</f>
        <v>1.1860921146985221E-3</v>
      </c>
      <c r="L18" s="258">
        <f>L16/'8.Consolidated'!$C$49</f>
        <v>-1.3176714177417609E-2</v>
      </c>
    </row>
    <row r="19" spans="1:12">
      <c r="A19" s="61" t="s">
        <v>136</v>
      </c>
      <c r="B19" s="62">
        <v>5.0000000000000001E-3</v>
      </c>
      <c r="C19" s="62">
        <v>5.0000000000000001E-3</v>
      </c>
      <c r="D19" s="62">
        <v>0.01</v>
      </c>
      <c r="E19" s="316">
        <f>-B7</f>
        <v>0.02</v>
      </c>
      <c r="I19" s="303" t="s">
        <v>233</v>
      </c>
      <c r="J19" s="322">
        <f>J18*60%</f>
        <v>-8.6176837752696793E-3</v>
      </c>
      <c r="K19" s="322">
        <f t="shared" ref="K19:L19" si="1">K18*60%</f>
        <v>7.1165526881911318E-4</v>
      </c>
      <c r="L19" s="323">
        <f t="shared" si="1"/>
        <v>-7.9060285064505645E-3</v>
      </c>
    </row>
    <row r="20" spans="1:12">
      <c r="A20" s="61" t="s">
        <v>214</v>
      </c>
      <c r="B20" s="62"/>
      <c r="C20" s="62"/>
      <c r="D20" s="64"/>
      <c r="E20" s="63">
        <f>ABS(B9)</f>
        <v>8.5571380478131568E-3</v>
      </c>
      <c r="I20" s="255"/>
      <c r="J20" s="319"/>
      <c r="K20" s="319"/>
      <c r="L20" s="300"/>
    </row>
    <row r="21" spans="1:12">
      <c r="A21" s="61" t="s">
        <v>215</v>
      </c>
      <c r="B21" s="62"/>
      <c r="C21" s="62"/>
      <c r="D21" s="64"/>
      <c r="E21" s="63">
        <f>ABS(B10)</f>
        <v>5.4179932714455434E-3</v>
      </c>
      <c r="I21" s="255" t="s">
        <v>158</v>
      </c>
      <c r="J21" s="252">
        <f>SUMIF('8.Consolidated'!$M$3:$M$48,"&lt;0")</f>
        <v>-51899774.840794221</v>
      </c>
      <c r="K21" s="252">
        <f>SUMIF('8.Consolidated'!$M$3:$M$48,"&gt;0")</f>
        <v>32365708.844217546</v>
      </c>
      <c r="L21" s="256">
        <f>SUM(J21:K21)</f>
        <v>-19534065.996576674</v>
      </c>
    </row>
    <row r="22" spans="1:12">
      <c r="A22" s="65" t="s">
        <v>137</v>
      </c>
      <c r="B22" s="66">
        <f>SUM(B16:B19)</f>
        <v>2.9100000000000001E-2</v>
      </c>
      <c r="C22" s="66">
        <f>SUM(C16:C19)</f>
        <v>4.3599999999999993E-2</v>
      </c>
      <c r="D22" s="66">
        <f>SUM(D16:D19)</f>
        <v>6.359999999999999E-2</v>
      </c>
      <c r="E22" s="67">
        <f>SUM(E16:E19)</f>
        <v>8.2281676292830078E-2</v>
      </c>
      <c r="I22" s="255" t="s">
        <v>234</v>
      </c>
      <c r="J22" s="340">
        <f>MIN('8.Consolidated'!$L$3:$L$48)</f>
        <v>-3.4731583675412403E-2</v>
      </c>
      <c r="K22" s="340">
        <f>MAX('8.Consolidated'!$L$3:$L$48)</f>
        <v>2.4259860933532766E-2</v>
      </c>
      <c r="L22" s="256"/>
    </row>
    <row r="23" spans="1:12">
      <c r="A23" s="68" t="s">
        <v>216</v>
      </c>
      <c r="B23" s="69">
        <f>SUM(B16:B20)</f>
        <v>2.9100000000000001E-2</v>
      </c>
      <c r="C23" s="69">
        <f>SUM(C16:C20)</f>
        <v>4.3599999999999993E-2</v>
      </c>
      <c r="D23" s="69">
        <f>SUM(D16:D20)</f>
        <v>6.359999999999999E-2</v>
      </c>
      <c r="E23" s="341">
        <f>SUM(E16:E20)</f>
        <v>9.083881434064324E-2</v>
      </c>
      <c r="I23" s="303" t="s">
        <v>225</v>
      </c>
      <c r="J23" s="257">
        <f>J21/'8.Consolidated'!$C$49</f>
        <v>-5.7917188699684128E-3</v>
      </c>
      <c r="K23" s="257">
        <f>K21/'8.Consolidated'!$C$49</f>
        <v>3.6118285142465894E-3</v>
      </c>
      <c r="L23" s="258">
        <f>L21/'8.Consolidated'!$C$49</f>
        <v>-2.1798903557218234E-3</v>
      </c>
    </row>
    <row r="24" spans="1:12" s="11" customFormat="1">
      <c r="A24" s="70" t="s">
        <v>219</v>
      </c>
      <c r="B24" s="71">
        <f>SUM(B16:B19,B21)</f>
        <v>2.9100000000000001E-2</v>
      </c>
      <c r="C24" s="71">
        <f t="shared" ref="C24:D24" si="2">SUM(C16:C19,C21)</f>
        <v>4.3599999999999993E-2</v>
      </c>
      <c r="D24" s="71">
        <f t="shared" si="2"/>
        <v>6.359999999999999E-2</v>
      </c>
      <c r="E24" s="342">
        <f>SUM(E16:E19,E21)</f>
        <v>8.769966956427562E-2</v>
      </c>
      <c r="F24"/>
      <c r="I24" s="320" t="s">
        <v>233</v>
      </c>
      <c r="J24" s="324">
        <f>J23*60%</f>
        <v>-3.4750313219810477E-3</v>
      </c>
      <c r="K24" s="324">
        <f t="shared" ref="K24" si="3">K23*60%</f>
        <v>2.1670971085479534E-3</v>
      </c>
      <c r="L24" s="325">
        <f t="shared" ref="L24" si="4">L23*60%</f>
        <v>-1.3079342134330941E-3</v>
      </c>
    </row>
    <row r="26" spans="1:12">
      <c r="A26" s="276" t="s">
        <v>241</v>
      </c>
      <c r="B26" s="276"/>
      <c r="C26" s="276"/>
      <c r="D26" s="276"/>
      <c r="E26" s="276"/>
      <c r="F26" s="276"/>
    </row>
    <row r="27" spans="1:12">
      <c r="A27" s="277" t="str">
        <f>'[4]Overall Summary'!M22</f>
        <v>% IP Rev</v>
      </c>
      <c r="B27" s="278">
        <f>'[4]Overall Summary'!N22</f>
        <v>2014</v>
      </c>
      <c r="C27" s="278">
        <f>'[4]Overall Summary'!O22</f>
        <v>2015</v>
      </c>
      <c r="D27" s="284">
        <f>'[4]Overall Summary'!P22</f>
        <v>2016</v>
      </c>
      <c r="E27" s="278">
        <f>'[4]Overall Summary'!Q22</f>
        <v>2017</v>
      </c>
      <c r="F27" s="283">
        <f>'[4]Overall Summary'!R22</f>
        <v>2018</v>
      </c>
    </row>
    <row r="28" spans="1:12">
      <c r="A28" s="279" t="str">
        <f>'[4]Overall Summary'!M23</f>
        <v>HAC</v>
      </c>
      <c r="B28" s="286">
        <f>'[4]Overall Summary'!N23</f>
        <v>0</v>
      </c>
      <c r="C28" s="285">
        <f>'[4]Overall Summary'!O23</f>
        <v>0.01</v>
      </c>
      <c r="D28" s="285">
        <f>'[4]Overall Summary'!P23</f>
        <v>0.01</v>
      </c>
      <c r="E28" s="285">
        <f>'[4]Overall Summary'!Q23</f>
        <v>0.01</v>
      </c>
      <c r="F28" s="287" t="str">
        <f>'[4]Overall Summary'!R23</f>
        <v>tbd</v>
      </c>
    </row>
    <row r="29" spans="1:12">
      <c r="A29" s="279" t="str">
        <f>'[4]Overall Summary'!M24</f>
        <v>Readmits</v>
      </c>
      <c r="B29" s="285">
        <f>'[4]Overall Summary'!N24</f>
        <v>0.02</v>
      </c>
      <c r="C29" s="285">
        <f>'[4]Overall Summary'!O24</f>
        <v>0.03</v>
      </c>
      <c r="D29" s="285">
        <f>'[4]Overall Summary'!P24</f>
        <v>0.03</v>
      </c>
      <c r="E29" s="285">
        <f>'[4]Overall Summary'!Q24</f>
        <v>0.03</v>
      </c>
      <c r="F29" s="287" t="str">
        <f>'[4]Overall Summary'!R24</f>
        <v>tbd</v>
      </c>
    </row>
    <row r="30" spans="1:12">
      <c r="A30" s="279" t="str">
        <f>'[4]Overall Summary'!M25</f>
        <v>VBP</v>
      </c>
      <c r="B30" s="288">
        <f>'[4]Overall Summary'!N25</f>
        <v>1.2500000000000001E-2</v>
      </c>
      <c r="C30" s="288">
        <f>'[4]Overall Summary'!O25</f>
        <v>1.4999999999999999E-2</v>
      </c>
      <c r="D30" s="288">
        <f>'[4]Overall Summary'!P25</f>
        <v>1.7500000000000002E-2</v>
      </c>
      <c r="E30" s="285">
        <f>'[4]Overall Summary'!Q25</f>
        <v>0.02</v>
      </c>
      <c r="F30" s="287" t="str">
        <f>'[4]Overall Summary'!R25</f>
        <v>tbd</v>
      </c>
    </row>
    <row r="31" spans="1:12">
      <c r="A31" s="289" t="str">
        <f>'[4]Overall Summary'!M26</f>
        <v>Sum</v>
      </c>
      <c r="B31" s="290">
        <f>'[4]Overall Summary'!N26</f>
        <v>3.2500000000000001E-2</v>
      </c>
      <c r="C31" s="290">
        <f>'[4]Overall Summary'!O26</f>
        <v>5.5E-2</v>
      </c>
      <c r="D31" s="290">
        <f>'[4]Overall Summary'!P26</f>
        <v>5.7500000000000002E-2</v>
      </c>
      <c r="E31" s="290">
        <f>'[4]Overall Summary'!Q26</f>
        <v>0.06</v>
      </c>
      <c r="F31" s="281">
        <f>'[4]Overall Summary'!R26</f>
        <v>0</v>
      </c>
    </row>
    <row r="32" spans="1:12" s="276" customFormat="1">
      <c r="A32" s="291" t="s">
        <v>243</v>
      </c>
      <c r="B32" s="292"/>
      <c r="C32" s="292"/>
      <c r="D32" s="292"/>
      <c r="E32" s="292"/>
      <c r="F32" s="280"/>
    </row>
    <row r="33" spans="1:8" s="276" customFormat="1">
      <c r="A33" s="273" t="s">
        <v>232</v>
      </c>
      <c r="B33" s="66"/>
      <c r="C33" s="66">
        <f>C22-C31</f>
        <v>-1.1400000000000007E-2</v>
      </c>
      <c r="D33" s="66">
        <f>C33+D22-D31</f>
        <v>-5.30000000000002E-3</v>
      </c>
      <c r="E33" s="66">
        <f>D33+E22-E31</f>
        <v>1.6981676292830067E-2</v>
      </c>
      <c r="F33" s="282"/>
    </row>
    <row r="34" spans="1:8" s="276" customFormat="1">
      <c r="A34" s="263" t="s">
        <v>217</v>
      </c>
      <c r="B34" s="69">
        <f>B23-B31</f>
        <v>-3.4000000000000002E-3</v>
      </c>
      <c r="C34" s="69">
        <f>C23-C31</f>
        <v>-1.1400000000000007E-2</v>
      </c>
      <c r="D34" s="69">
        <f>D23-D31</f>
        <v>6.0999999999999874E-3</v>
      </c>
      <c r="E34" s="69">
        <f>E23-E31</f>
        <v>3.0838814340643242E-2</v>
      </c>
      <c r="F34" s="280"/>
    </row>
    <row r="35" spans="1:8">
      <c r="A35" s="274" t="s">
        <v>218</v>
      </c>
      <c r="B35" s="71">
        <f>B24-B31</f>
        <v>-3.4000000000000002E-3</v>
      </c>
      <c r="C35" s="71">
        <f>C24-C31</f>
        <v>-1.1400000000000007E-2</v>
      </c>
      <c r="D35" s="71">
        <f>D24-D31</f>
        <v>6.0999999999999874E-3</v>
      </c>
      <c r="E35" s="71">
        <f>E24-E31</f>
        <v>2.7699669564275622E-2</v>
      </c>
      <c r="F35" s="280"/>
      <c r="G35" s="11"/>
      <c r="H35" s="11"/>
    </row>
    <row r="36" spans="1:8">
      <c r="G36" s="11"/>
      <c r="H36" s="11"/>
    </row>
    <row r="37" spans="1:8">
      <c r="G37" s="11"/>
      <c r="H37" s="11"/>
    </row>
  </sheetData>
  <pageMargins left="0.7" right="0.7" top="0.75" bottom="0.75" header="0.3" footer="0.3"/>
  <pageSetup scale="49" orientation="portrait" r:id="rId1"/>
  <headerFooter>
    <oddFooter>&amp;CHSCRC Work Group Meeting
Feb 2, 2015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abSelected="1" view="pageBreakPreview" zoomScale="60" zoomScaleNormal="100" workbookViewId="0">
      <selection activeCell="E15" sqref="E15"/>
    </sheetView>
  </sheetViews>
  <sheetFormatPr defaultRowHeight="14.4"/>
  <cols>
    <col min="2" max="2" width="30.44140625" style="330" customWidth="1"/>
    <col min="3" max="3" width="18.5546875" style="276" customWidth="1"/>
    <col min="4" max="4" width="17.33203125" customWidth="1"/>
    <col min="5" max="5" width="19.44140625" style="276" customWidth="1"/>
    <col min="6" max="6" width="12.109375" customWidth="1"/>
    <col min="7" max="7" width="13" customWidth="1"/>
    <col min="8" max="8" width="3.33203125" style="276" customWidth="1"/>
    <col min="9" max="9" width="13" style="276" customWidth="1"/>
    <col min="10" max="10" width="16.88671875" style="276" customWidth="1"/>
    <col min="11" max="11" width="6.5546875" style="276" customWidth="1"/>
    <col min="12" max="12" width="14" style="276" customWidth="1"/>
    <col min="13" max="13" width="19.44140625" style="276" customWidth="1"/>
    <col min="14" max="14" width="11.33203125" style="276" hidden="1" customWidth="1"/>
    <col min="15" max="15" width="14.88671875" style="276" hidden="1" customWidth="1"/>
    <col min="16" max="17" width="13" style="276" hidden="1" customWidth="1"/>
    <col min="18" max="18" width="5" style="276" hidden="1" customWidth="1"/>
  </cols>
  <sheetData>
    <row r="1" spans="1:18" s="276" customFormat="1">
      <c r="A1" s="31" t="s">
        <v>248</v>
      </c>
      <c r="B1" s="330"/>
    </row>
    <row r="2" spans="1:18" ht="57.6" customHeight="1">
      <c r="A2" s="308" t="s">
        <v>121</v>
      </c>
      <c r="B2" s="331" t="s">
        <v>120</v>
      </c>
      <c r="C2" s="309" t="s">
        <v>119</v>
      </c>
      <c r="D2" s="306" t="s">
        <v>254</v>
      </c>
      <c r="E2" s="306" t="s">
        <v>255</v>
      </c>
      <c r="F2" s="306" t="s">
        <v>136</v>
      </c>
      <c r="G2" s="306" t="s">
        <v>153</v>
      </c>
      <c r="H2" s="306"/>
      <c r="I2" s="307" t="s">
        <v>252</v>
      </c>
      <c r="J2" s="307"/>
      <c r="K2" s="307"/>
      <c r="L2" s="307" t="s">
        <v>253</v>
      </c>
      <c r="M2" s="307"/>
      <c r="N2" s="307" t="s">
        <v>230</v>
      </c>
      <c r="O2" s="307"/>
      <c r="P2" s="307" t="s">
        <v>231</v>
      </c>
      <c r="Q2" s="307"/>
      <c r="R2" s="306"/>
    </row>
    <row r="3" spans="1:18" ht="15.6">
      <c r="A3" s="196">
        <v>210019</v>
      </c>
      <c r="B3" s="332" t="s">
        <v>68</v>
      </c>
      <c r="C3" s="209">
        <f>VLOOKUP(A3,Revenue!$A$2:$C$47,3,0)</f>
        <v>233728496.38738936</v>
      </c>
      <c r="D3" s="310">
        <f>VLOOKUP(A3,'6.MHAC Modeling Results'!$A$4:$K$49,6,FALSE)</f>
        <v>-2.5588235294117641E-2</v>
      </c>
      <c r="E3" s="260">
        <f>VLOOKUP(A3,'6.MHAC Modeling Results'!$A$4:$K$49,10,FALSE)</f>
        <v>-6.551724137931033E-3</v>
      </c>
      <c r="F3" s="310">
        <f>VLOOKUP(A3,'4.QBR Modeling Results'!$A$3:$I$45,8,FALSE)</f>
        <v>-8.179859537481373E-3</v>
      </c>
      <c r="G3" s="310">
        <f>VLOOKUP(A3,'2.RRIP Modeling Results'!$A$3:$AD$48,24,FALSE)</f>
        <v>-0.02</v>
      </c>
      <c r="H3" s="310"/>
      <c r="I3" s="310">
        <f t="shared" ref="I3:I48" si="0">SUM(D3,F3,G3)</f>
        <v>-5.3768094831599014E-2</v>
      </c>
      <c r="J3" s="311">
        <f>I3*C3</f>
        <v>-12567135.958604198</v>
      </c>
      <c r="K3" s="311"/>
      <c r="L3" s="310">
        <f t="shared" ref="L3:L48" si="1">SUM(E3:G3)</f>
        <v>-3.4731583675412403E-2</v>
      </c>
      <c r="M3" s="311">
        <f t="shared" ref="M3:M48" si="2">C3*L3</f>
        <v>-8117760.8296069391</v>
      </c>
      <c r="N3" s="310">
        <f>IF(I3&lt;0, IF(I3&lt;'7Aggregate Summary'!$B$4,'7Aggregate Summary'!$B$4,'8.Consolidated'!I19),I3)</f>
        <v>-0.03</v>
      </c>
      <c r="O3" s="311">
        <f t="shared" ref="O3:O48" si="3">N3*C3</f>
        <v>-7011854.8916216809</v>
      </c>
      <c r="P3" s="310">
        <f>IF(L3&lt;0, IF(L3&lt;'7Aggregate Summary'!$B$4,'7Aggregate Summary'!$B$4,'8.Consolidated'!L19),L3)</f>
        <v>-0.03</v>
      </c>
      <c r="Q3" s="311">
        <f t="shared" ref="Q3:Q48" si="4">C3*E3</f>
        <v>-1531324.631503585</v>
      </c>
      <c r="R3" s="311"/>
    </row>
    <row r="4" spans="1:18" ht="15.6">
      <c r="A4" s="196">
        <v>210004</v>
      </c>
      <c r="B4" s="332" t="s">
        <v>55</v>
      </c>
      <c r="C4" s="209">
        <f>VLOOKUP(A4,Revenue!$A$2:$C$47,3,0)</f>
        <v>319596342.21781081</v>
      </c>
      <c r="D4" s="310">
        <f>VLOOKUP(A4,'6.MHAC Modeling Results'!$A$4:$K$49,6,FALSE)</f>
        <v>-2.5588235294117641E-2</v>
      </c>
      <c r="E4" s="260">
        <f>VLOOKUP(A4,'6.MHAC Modeling Results'!$A$4:$K$49,10,FALSE)</f>
        <v>-6.551724137931033E-3</v>
      </c>
      <c r="F4" s="310">
        <f>VLOOKUP(A4,'4.QBR Modeling Results'!$A$3:$I$45,8,FALSE)</f>
        <v>-1.0996986500789452E-3</v>
      </c>
      <c r="G4" s="310">
        <f>VLOOKUP(A4,'2.RRIP Modeling Results'!$A$3:$AD$48,24,FALSE)</f>
        <v>-0.02</v>
      </c>
      <c r="H4" s="310"/>
      <c r="I4" s="310">
        <f t="shared" si="0"/>
        <v>-4.6687933944196583E-2</v>
      </c>
      <c r="J4" s="311">
        <f t="shared" ref="J4:J48" si="5">I4*C4</f>
        <v>-14921292.914271997</v>
      </c>
      <c r="K4" s="311"/>
      <c r="L4" s="310">
        <f t="shared" si="1"/>
        <v>-2.7651422788009979E-2</v>
      </c>
      <c r="M4" s="311">
        <f t="shared" si="2"/>
        <v>-8837293.5801662095</v>
      </c>
      <c r="N4" s="310">
        <f>IF(I4&lt;0, IF(I4&lt;'7Aggregate Summary'!$B$4,'7Aggregate Summary'!$B$4,'8.Consolidated'!I6),I4)</f>
        <v>-0.03</v>
      </c>
      <c r="O4" s="311">
        <f t="shared" si="3"/>
        <v>-9587890.2665343247</v>
      </c>
      <c r="P4" s="310">
        <f>IF(L4&lt;0, IF(L4&lt;'7Aggregate Summary'!$B$4,'7Aggregate Summary'!$B$4,'8.Consolidated'!L6),L4)</f>
        <v>-2.4593768801242033E-2</v>
      </c>
      <c r="Q4" s="311">
        <f t="shared" si="4"/>
        <v>-2093907.0697028979</v>
      </c>
      <c r="R4" s="311"/>
    </row>
    <row r="5" spans="1:18" ht="15.6">
      <c r="A5" s="196">
        <v>210062</v>
      </c>
      <c r="B5" s="332" t="s">
        <v>96</v>
      </c>
      <c r="C5" s="209">
        <f>VLOOKUP(A5,Revenue!$A$2:$C$47,3,0)</f>
        <v>163208213.46317798</v>
      </c>
      <c r="D5" s="310">
        <f>VLOOKUP(A5,'6.MHAC Modeling Results'!$A$4:$K$49,6,FALSE)</f>
        <v>-2.3823529411764698E-2</v>
      </c>
      <c r="E5" s="260">
        <f>VLOOKUP(A5,'6.MHAC Modeling Results'!$A$4:$K$49,10,FALSE)</f>
        <v>-5.8620689655172389E-3</v>
      </c>
      <c r="F5" s="310">
        <f>VLOOKUP(A5,'4.QBR Modeling Results'!$A$3:$I$45,8,FALSE)</f>
        <v>-0.02</v>
      </c>
      <c r="G5" s="310">
        <f>VLOOKUP(A5,'2.RRIP Modeling Results'!$A$3:$AD$48,24,FALSE)</f>
        <v>4.8362471677904171E-3</v>
      </c>
      <c r="H5" s="310"/>
      <c r="I5" s="310">
        <f t="shared" si="0"/>
        <v>-3.8987282243974283E-2</v>
      </c>
      <c r="J5" s="311">
        <f t="shared" si="5"/>
        <v>-6363044.6828237232</v>
      </c>
      <c r="K5" s="311"/>
      <c r="L5" s="310">
        <f t="shared" si="1"/>
        <v>-2.1025821797726822E-2</v>
      </c>
      <c r="M5" s="311">
        <f t="shared" si="2"/>
        <v>-3431586.8122021398</v>
      </c>
      <c r="N5" s="310">
        <f>IF(I5&lt;0, IF(I5&lt;'7Aggregate Summary'!$B$4,'7Aggregate Summary'!$B$4,'8.Consolidated'!I47),I5)</f>
        <v>-0.03</v>
      </c>
      <c r="O5" s="311">
        <f t="shared" si="3"/>
        <v>-4896246.403895339</v>
      </c>
      <c r="P5" s="310">
        <f>IF(L5&lt;0, IF(L5&lt;'7Aggregate Summary'!$B$4,'7Aggregate Summary'!$B$4,'8.Consolidated'!L47),L5)</f>
        <v>1.7967503359176677E-2</v>
      </c>
      <c r="Q5" s="311">
        <f t="shared" si="4"/>
        <v>-956737.80306000845</v>
      </c>
      <c r="R5" s="311"/>
    </row>
    <row r="6" spans="1:18" ht="15.6">
      <c r="A6" s="196">
        <v>210016</v>
      </c>
      <c r="B6" s="332" t="s">
        <v>65</v>
      </c>
      <c r="C6" s="209">
        <f>VLOOKUP(A6,Revenue!$A$2:$C$47,3,0)</f>
        <v>161698669.47905135</v>
      </c>
      <c r="D6" s="310">
        <f>VLOOKUP(A6,'6.MHAC Modeling Results'!$A$4:$K$49,6,FALSE)</f>
        <v>-1.3235294117647043E-2</v>
      </c>
      <c r="E6" s="260">
        <f>VLOOKUP(A6,'6.MHAC Modeling Results'!$A$4:$K$49,10,FALSE)</f>
        <v>-1.7241379310344775E-3</v>
      </c>
      <c r="F6" s="310">
        <f>VLOOKUP(A6,'4.QBR Modeling Results'!$A$3:$I$45,8,FALSE)</f>
        <v>-2.8696308702075533E-3</v>
      </c>
      <c r="G6" s="310">
        <f>VLOOKUP(A6,'2.RRIP Modeling Results'!$A$3:$AD$48,24,FALSE)</f>
        <v>-0.02</v>
      </c>
      <c r="H6" s="310"/>
      <c r="I6" s="310">
        <f t="shared" si="0"/>
        <v>-3.61049249878546E-2</v>
      </c>
      <c r="J6" s="311">
        <f t="shared" si="5"/>
        <v>-5838118.332177043</v>
      </c>
      <c r="K6" s="311"/>
      <c r="L6" s="310">
        <f t="shared" si="1"/>
        <v>-2.4593768801242033E-2</v>
      </c>
      <c r="M6" s="311">
        <f t="shared" si="2"/>
        <v>-3976779.6926362403</v>
      </c>
      <c r="N6" s="310">
        <f>IF(I6&lt;0, IF(I6&lt;'7Aggregate Summary'!$B$4,'7Aggregate Summary'!$B$4,'8.Consolidated'!I16),I6)</f>
        <v>-0.03</v>
      </c>
      <c r="O6" s="311">
        <f t="shared" si="3"/>
        <v>-4850960.0843715407</v>
      </c>
      <c r="P6" s="310">
        <f>IF(L6&lt;0, IF(L6&lt;'7Aggregate Summary'!$B$4,'7Aggregate Summary'!$B$4,'8.Consolidated'!L16),L6)</f>
        <v>-3.2668261627834738E-3</v>
      </c>
      <c r="Q6" s="311">
        <f t="shared" si="4"/>
        <v>-278790.80944663944</v>
      </c>
      <c r="R6" s="311"/>
    </row>
    <row r="7" spans="1:18" ht="15.6">
      <c r="A7" s="196">
        <v>210001</v>
      </c>
      <c r="B7" s="332" t="s">
        <v>52</v>
      </c>
      <c r="C7" s="209">
        <f>VLOOKUP(A7,Revenue!$A$2:$C$47,3,0)</f>
        <v>187434496.6631088</v>
      </c>
      <c r="D7" s="310">
        <f>VLOOKUP(A7,'6.MHAC Modeling Results'!$A$4:$K$49,6,FALSE)</f>
        <v>-1.14705882352941E-2</v>
      </c>
      <c r="E7" s="260">
        <f>VLOOKUP(A7,'6.MHAC Modeling Results'!$A$4:$K$49,10,FALSE)</f>
        <v>-1.7241379310344775E-3</v>
      </c>
      <c r="F7" s="310">
        <f>VLOOKUP(A7,'4.QBR Modeling Results'!$A$3:$I$45,8,FALSE)</f>
        <v>-5.9597761400586435E-3</v>
      </c>
      <c r="G7" s="310">
        <f>VLOOKUP(A7,'2.RRIP Modeling Results'!$A$3:$AD$48,24,FALSE)</f>
        <v>-1.7444497319766619E-2</v>
      </c>
      <c r="H7" s="310"/>
      <c r="I7" s="310">
        <f t="shared" si="0"/>
        <v>-3.4874861695119365E-2</v>
      </c>
      <c r="J7" s="311">
        <f t="shared" si="5"/>
        <v>-6536752.1480202312</v>
      </c>
      <c r="K7" s="311"/>
      <c r="L7" s="310">
        <f t="shared" si="1"/>
        <v>-2.512841139085974E-2</v>
      </c>
      <c r="M7" s="311">
        <f t="shared" si="2"/>
        <v>-4709931.140989325</v>
      </c>
      <c r="N7" s="310">
        <f>IF(I7&lt;0, IF(I7&lt;'7Aggregate Summary'!$B$4,'7Aggregate Summary'!$B$4,'8.Consolidated'!I3),I7)</f>
        <v>-0.03</v>
      </c>
      <c r="O7" s="311">
        <f t="shared" si="3"/>
        <v>-5623034.8998932634</v>
      </c>
      <c r="P7" s="310">
        <f>IF(L7&lt;0, IF(L7&lt;'7Aggregate Summary'!$B$4,'7Aggregate Summary'!$B$4,'8.Consolidated'!L3),L7)</f>
        <v>-3.4731583675412403E-2</v>
      </c>
      <c r="Q7" s="311">
        <f t="shared" si="4"/>
        <v>-323162.92528122111</v>
      </c>
      <c r="R7" s="311"/>
    </row>
    <row r="8" spans="1:18" ht="15.6">
      <c r="A8" s="196">
        <v>210022</v>
      </c>
      <c r="B8" s="332" t="s">
        <v>69</v>
      </c>
      <c r="C8" s="209">
        <f>VLOOKUP(A8,Revenue!$A$2:$C$47,3,0)</f>
        <v>181410188.33315492</v>
      </c>
      <c r="D8" s="310">
        <f>VLOOKUP(A8,'6.MHAC Modeling Results'!$A$4:$K$49,6,FALSE)</f>
        <v>-2.4705882352941171E-2</v>
      </c>
      <c r="E8" s="260">
        <f>VLOOKUP(A8,'6.MHAC Modeling Results'!$A$4:$K$49,10,FALSE)</f>
        <v>-6.551724137931033E-3</v>
      </c>
      <c r="F8" s="310">
        <f>VLOOKUP(A8,'4.QBR Modeling Results'!$A$3:$I$45,8,FALSE)</f>
        <v>-5.9597761400586469E-3</v>
      </c>
      <c r="G8" s="310">
        <f>VLOOKUP(A8,'2.RRIP Modeling Results'!$A$3:$AD$48,24,FALSE)</f>
        <v>-3.753656603339965E-3</v>
      </c>
      <c r="H8" s="310"/>
      <c r="I8" s="310">
        <f t="shared" si="0"/>
        <v>-3.4419315096339782E-2</v>
      </c>
      <c r="J8" s="311">
        <f t="shared" si="5"/>
        <v>-6244014.4339252021</v>
      </c>
      <c r="K8" s="311"/>
      <c r="L8" s="310">
        <f t="shared" si="1"/>
        <v>-1.6265156881329644E-2</v>
      </c>
      <c r="M8" s="311">
        <f t="shared" si="2"/>
        <v>-2950665.1731103216</v>
      </c>
      <c r="N8" s="310">
        <f>IF(I8&lt;0, IF(I8&lt;'7Aggregate Summary'!$B$4,'7Aggregate Summary'!$B$4,'8.Consolidated'!I20),I8)</f>
        <v>-0.03</v>
      </c>
      <c r="O8" s="311">
        <f t="shared" si="3"/>
        <v>-5442305.6499946471</v>
      </c>
      <c r="P8" s="310">
        <f>IF(L8&lt;0, IF(L8&lt;'7Aggregate Summary'!$B$4,'7Aggregate Summary'!$B$4,'8.Consolidated'!L20),L8)</f>
        <v>3.0374967255211672E-3</v>
      </c>
      <c r="Q8" s="311">
        <f t="shared" si="4"/>
        <v>-1188549.5097689456</v>
      </c>
      <c r="R8" s="311"/>
    </row>
    <row r="9" spans="1:18" ht="15.6">
      <c r="A9" s="196">
        <v>210048</v>
      </c>
      <c r="B9" s="332" t="s">
        <v>87</v>
      </c>
      <c r="C9" s="209">
        <f>VLOOKUP(A9,Revenue!$A$2:$C$47,3,0)</f>
        <v>167386496.75761572</v>
      </c>
      <c r="D9" s="310">
        <f>VLOOKUP(A9,'6.MHAC Modeling Results'!$A$4:$K$49,6,FALSE)</f>
        <v>-2.1176470588235286E-2</v>
      </c>
      <c r="E9" s="260">
        <f>VLOOKUP(A9,'6.MHAC Modeling Results'!$A$4:$K$49,10,FALSE)</f>
        <v>-5.1724137931034456E-3</v>
      </c>
      <c r="F9" s="310">
        <f>VLOOKUP(A9,'4.QBR Modeling Results'!$A$3:$I$45,8,FALSE)</f>
        <v>-1.02798450200406E-2</v>
      </c>
      <c r="G9" s="310">
        <f>VLOOKUP(A9,'2.RRIP Modeling Results'!$A$3:$AD$48,24,FALSE)</f>
        <v>3.178254494607474E-3</v>
      </c>
      <c r="H9" s="310"/>
      <c r="I9" s="310">
        <f t="shared" si="0"/>
        <v>-2.8278061113668412E-2</v>
      </c>
      <c r="J9" s="311">
        <f t="shared" si="5"/>
        <v>-4733365.5849147169</v>
      </c>
      <c r="K9" s="311"/>
      <c r="L9" s="310">
        <f t="shared" si="1"/>
        <v>-1.227400431853657E-2</v>
      </c>
      <c r="M9" s="311">
        <f t="shared" si="2"/>
        <v>-2054502.584067683</v>
      </c>
      <c r="N9" s="310">
        <f>IF(I9&lt;0, IF(I9&lt;'7Aggregate Summary'!$B$4,'7Aggregate Summary'!$B$4,'8.Consolidated'!I38),I9)</f>
        <v>2.6902023349469912E-3</v>
      </c>
      <c r="O9" s="311">
        <f t="shared" si="3"/>
        <v>450303.54441593477</v>
      </c>
      <c r="P9" s="310">
        <f>IF(L9&lt;0, IF(L9&lt;'7Aggregate Summary'!$B$4,'7Aggregate Summary'!$B$4,'8.Consolidated'!L38),L9)</f>
        <v>2.6902023349469912E-3</v>
      </c>
      <c r="Q9" s="311">
        <f t="shared" si="4"/>
        <v>-865792.22460835672</v>
      </c>
      <c r="R9" s="311"/>
    </row>
    <row r="10" spans="1:18" ht="15.6">
      <c r="A10" s="196">
        <v>210033</v>
      </c>
      <c r="B10" s="332" t="s">
        <v>77</v>
      </c>
      <c r="C10" s="209">
        <f>VLOOKUP(A10,Revenue!$A$2:$C$47,3,0)</f>
        <v>138209278.26224214</v>
      </c>
      <c r="D10" s="310">
        <f>VLOOKUP(A10,'6.MHAC Modeling Results'!$A$4:$K$49,6,FALSE)</f>
        <v>-1.7647058823529401E-2</v>
      </c>
      <c r="E10" s="260">
        <f>VLOOKUP(A10,'6.MHAC Modeling Results'!$A$4:$K$49,10,FALSE)</f>
        <v>-3.7931034482758582E-3</v>
      </c>
      <c r="F10" s="310">
        <f>VLOOKUP(A10,'4.QBR Modeling Results'!$A$3:$I$45,8,FALSE)</f>
        <v>-2.1797158700744348E-3</v>
      </c>
      <c r="G10" s="310">
        <f>VLOOKUP(A10,'2.RRIP Modeling Results'!$A$3:$AD$48,24,FALSE)</f>
        <v>-5.4782035348644531E-3</v>
      </c>
      <c r="H10" s="310"/>
      <c r="I10" s="310">
        <f t="shared" si="0"/>
        <v>-2.5304978228468288E-2</v>
      </c>
      <c r="J10" s="311">
        <f t="shared" si="5"/>
        <v>-3497382.777398353</v>
      </c>
      <c r="K10" s="311"/>
      <c r="L10" s="310">
        <f t="shared" si="1"/>
        <v>-1.1451022853214747E-2</v>
      </c>
      <c r="M10" s="311">
        <f t="shared" si="2"/>
        <v>-1582637.6039072508</v>
      </c>
      <c r="N10" s="310">
        <f>IF(I10&lt;0, IF(I10&lt;'7Aggregate Summary'!$B$4,'7Aggregate Summary'!$B$4,'8.Consolidated'!I28),I10)</f>
        <v>-5.1979899091819156E-3</v>
      </c>
      <c r="O10" s="311">
        <f t="shared" si="3"/>
        <v>-718410.43376245012</v>
      </c>
      <c r="P10" s="310">
        <f>IF(L10&lt;0, IF(L10&lt;'7Aggregate Summary'!$B$4,'7Aggregate Summary'!$B$4,'8.Consolidated'!L28),L10)</f>
        <v>4.0109350401081358E-3</v>
      </c>
      <c r="Q10" s="311">
        <f t="shared" si="4"/>
        <v>-524242.08996022824</v>
      </c>
      <c r="R10" s="311"/>
    </row>
    <row r="11" spans="1:18" ht="15.6">
      <c r="A11" s="196">
        <v>210005</v>
      </c>
      <c r="B11" s="332" t="s">
        <v>56</v>
      </c>
      <c r="C11" s="209">
        <f>VLOOKUP(A11,Revenue!$A$2:$C$47,3,0)</f>
        <v>189480762.70820984</v>
      </c>
      <c r="D11" s="310">
        <f>VLOOKUP(A11,'6.MHAC Modeling Results'!$A$4:$K$49,6,FALSE)</f>
        <v>-1.14705882352941E-2</v>
      </c>
      <c r="E11" s="260">
        <f>VLOOKUP(A11,'6.MHAC Modeling Results'!$A$4:$K$49,10,FALSE)</f>
        <v>-1.3793103448275796E-3</v>
      </c>
      <c r="F11" s="310">
        <f>VLOOKUP(A11,'4.QBR Modeling Results'!$A$3:$I$45,8,FALSE)</f>
        <v>2.8698365489632349E-3</v>
      </c>
      <c r="G11" s="310">
        <f>VLOOKUP(A11,'2.RRIP Modeling Results'!$A$3:$AD$48,24,FALSE)</f>
        <v>-1.2147269843228189E-2</v>
      </c>
      <c r="H11" s="310"/>
      <c r="I11" s="310">
        <f t="shared" si="0"/>
        <v>-2.0748021529559055E-2</v>
      </c>
      <c r="J11" s="311">
        <f t="shared" si="5"/>
        <v>-3931350.9441072084</v>
      </c>
      <c r="K11" s="311"/>
      <c r="L11" s="310">
        <f t="shared" si="1"/>
        <v>-1.0656743639092534E-2</v>
      </c>
      <c r="M11" s="311">
        <f t="shared" si="2"/>
        <v>-2019247.912721117</v>
      </c>
      <c r="N11" s="310">
        <f>IF(I11&lt;0, IF(I11&lt;'7Aggregate Summary'!$B$4,'7Aggregate Summary'!$B$4,'8.Consolidated'!I7),I11)</f>
        <v>-3.4874861695119365E-2</v>
      </c>
      <c r="O11" s="311">
        <f t="shared" si="3"/>
        <v>-6608115.3933345489</v>
      </c>
      <c r="P11" s="310">
        <f>IF(L11&lt;0, IF(L11&lt;'7Aggregate Summary'!$B$4,'7Aggregate Summary'!$B$4,'8.Consolidated'!L7),L11)</f>
        <v>-2.512841139085974E-2</v>
      </c>
      <c r="Q11" s="311">
        <f t="shared" si="4"/>
        <v>-261352.77614925371</v>
      </c>
      <c r="R11" s="311"/>
    </row>
    <row r="12" spans="1:18" ht="15.6">
      <c r="A12" s="196">
        <v>210049</v>
      </c>
      <c r="B12" s="332" t="s">
        <v>88</v>
      </c>
      <c r="C12" s="209">
        <f>VLOOKUP(A12,Revenue!$A$2:$C$47,3,0)</f>
        <v>148917095.66517001</v>
      </c>
      <c r="D12" s="310">
        <f>VLOOKUP(A12,'6.MHAC Modeling Results'!$A$4:$K$49,6,FALSE)</f>
        <v>-1.2352941176470573E-2</v>
      </c>
      <c r="E12" s="260">
        <f>VLOOKUP(A12,'6.MHAC Modeling Results'!$A$4:$K$49,10,FALSE)</f>
        <v>-1.7241379310344775E-3</v>
      </c>
      <c r="F12" s="310">
        <f>VLOOKUP(A12,'4.QBR Modeling Results'!$A$3:$I$45,8,FALSE)</f>
        <v>2.6896508722327626E-3</v>
      </c>
      <c r="G12" s="310">
        <f>VLOOKUP(A12,'2.RRIP Modeling Results'!$A$3:$AD$48,24,FALSE)</f>
        <v>-1.0187752834385558E-2</v>
      </c>
      <c r="H12" s="310"/>
      <c r="I12" s="310">
        <f t="shared" si="0"/>
        <v>-1.9851043138623369E-2</v>
      </c>
      <c r="J12" s="311">
        <f t="shared" si="5"/>
        <v>-2956159.6901277928</v>
      </c>
      <c r="K12" s="311"/>
      <c r="L12" s="310">
        <f t="shared" si="1"/>
        <v>-9.2222398931872743E-3</v>
      </c>
      <c r="M12" s="311">
        <f t="shared" si="2"/>
        <v>-1373349.1804209165</v>
      </c>
      <c r="N12" s="310">
        <f>IF(I12&lt;0, IF(I12&lt;'7Aggregate Summary'!$B$4,'7Aggregate Summary'!$B$4,'8.Consolidated'!I39),I12)</f>
        <v>6.6820176646840146E-3</v>
      </c>
      <c r="O12" s="311">
        <f t="shared" si="3"/>
        <v>995066.66380810528</v>
      </c>
      <c r="P12" s="310">
        <f>IF(L12&lt;0, IF(L12&lt;'7Aggregate Summary'!$B$4,'7Aggregate Summary'!$B$4,'8.Consolidated'!L39),L12)</f>
        <v>1.1093782370566341E-2</v>
      </c>
      <c r="Q12" s="311">
        <f t="shared" si="4"/>
        <v>-256753.6132158096</v>
      </c>
      <c r="R12" s="311"/>
    </row>
    <row r="13" spans="1:18" ht="15.6">
      <c r="A13" s="196">
        <v>210037</v>
      </c>
      <c r="B13" s="332" t="s">
        <v>80</v>
      </c>
      <c r="C13" s="209">
        <f>VLOOKUP(A13,Revenue!$A$2:$C$47,3,0)</f>
        <v>94828131.850859523</v>
      </c>
      <c r="D13" s="310">
        <f>VLOOKUP(A13,'6.MHAC Modeling Results'!$A$4:$K$49,6,FALSE)</f>
        <v>-2.6470588235293843E-3</v>
      </c>
      <c r="E13" s="260">
        <f>VLOOKUP(A13,'6.MHAC Modeling Results'!$A$4:$K$49,10,FALSE)</f>
        <v>0</v>
      </c>
      <c r="F13" s="310">
        <f>VLOOKUP(A13,'4.QBR Modeling Results'!$A$3:$I$45,8,FALSE)</f>
        <v>3.204405313516373E-3</v>
      </c>
      <c r="G13" s="310">
        <f>VLOOKUP(A13,'2.RRIP Modeling Results'!$A$3:$AD$48,24,FALSE)</f>
        <v>-0.02</v>
      </c>
      <c r="H13" s="310"/>
      <c r="I13" s="310">
        <f t="shared" si="0"/>
        <v>-1.9442653510013012E-2</v>
      </c>
      <c r="J13" s="311">
        <f t="shared" si="5"/>
        <v>-1843710.5105780906</v>
      </c>
      <c r="K13" s="311"/>
      <c r="L13" s="310">
        <f t="shared" si="1"/>
        <v>-1.6795594686483627E-2</v>
      </c>
      <c r="M13" s="311">
        <f t="shared" si="2"/>
        <v>-1592694.8674434649</v>
      </c>
      <c r="N13" s="310">
        <f>IF(I13&lt;0, IF(I13&lt;'7Aggregate Summary'!$B$4,'7Aggregate Summary'!$B$4,'8.Consolidated'!I31),I13)</f>
        <v>-2.3529411764705733E-3</v>
      </c>
      <c r="O13" s="311">
        <f t="shared" si="3"/>
        <v>-223125.01611966806</v>
      </c>
      <c r="P13" s="310">
        <f>IF(L13&lt;0, IF(L13&lt;'7Aggregate Summary'!$B$4,'7Aggregate Summary'!$B$4,'8.Consolidated'!L31),L13)</f>
        <v>8.2758620689655227E-3</v>
      </c>
      <c r="Q13" s="311">
        <f t="shared" si="4"/>
        <v>0</v>
      </c>
      <c r="R13" s="311"/>
    </row>
    <row r="14" spans="1:18" ht="16.95" customHeight="1">
      <c r="A14" s="196">
        <v>210044</v>
      </c>
      <c r="B14" s="332" t="s">
        <v>85</v>
      </c>
      <c r="C14" s="209">
        <f>VLOOKUP(A14,Revenue!$A$2:$C$47,3,0)</f>
        <v>201533345.32362995</v>
      </c>
      <c r="D14" s="310">
        <f>VLOOKUP(A14,'6.MHAC Modeling Results'!$A$4:$K$49,6,FALSE)</f>
        <v>-2.1176470588235286E-2</v>
      </c>
      <c r="E14" s="260">
        <f>VLOOKUP(A14,'6.MHAC Modeling Results'!$A$4:$K$49,10,FALSE)</f>
        <v>-5.1724137931034456E-3</v>
      </c>
      <c r="F14" s="310">
        <f>VLOOKUP(A14,'4.QBR Modeling Results'!$A$3:$I$45,8,FALSE)</f>
        <v>-7.6569151995595549E-3</v>
      </c>
      <c r="G14" s="310">
        <f>VLOOKUP(A14,'2.RRIP Modeling Results'!$A$3:$AD$48,24,FALSE)</f>
        <v>0.01</v>
      </c>
      <c r="H14" s="310"/>
      <c r="I14" s="310">
        <f t="shared" si="0"/>
        <v>-1.8833385787794837E-2</v>
      </c>
      <c r="J14" s="311">
        <f t="shared" si="5"/>
        <v>-3795555.2415848016</v>
      </c>
      <c r="K14" s="311"/>
      <c r="L14" s="310">
        <f t="shared" si="1"/>
        <v>-2.8293289926630012E-3</v>
      </c>
      <c r="M14" s="311">
        <f t="shared" si="2"/>
        <v>-570204.13691251061</v>
      </c>
      <c r="N14" s="310">
        <f>IF(I14&lt;0, IF(I14&lt;'7Aggregate Summary'!$B$4,'7Aggregate Summary'!$B$4,'8.Consolidated'!I36),I14)</f>
        <v>9.5407545377114607E-4</v>
      </c>
      <c r="O14" s="311">
        <f t="shared" si="3"/>
        <v>192278.01788965933</v>
      </c>
      <c r="P14" s="310">
        <f>IF(L14&lt;0, IF(L14&lt;'7Aggregate Summary'!$B$4,'7Aggregate Summary'!$B$4,'8.Consolidated'!L36),L14)</f>
        <v>1.4803912432448489E-3</v>
      </c>
      <c r="Q14" s="311">
        <f t="shared" si="4"/>
        <v>-1042413.8551222233</v>
      </c>
      <c r="R14" s="311"/>
    </row>
    <row r="15" spans="1:18" ht="15.6">
      <c r="A15" s="196">
        <v>210035</v>
      </c>
      <c r="B15" s="332" t="s">
        <v>79</v>
      </c>
      <c r="C15" s="209">
        <f>VLOOKUP(A15,Revenue!$A$2:$C$47,3,0)</f>
        <v>76338049.290417254</v>
      </c>
      <c r="D15" s="310">
        <f>VLOOKUP(A15,'6.MHAC Modeling Results'!$A$4:$K$49,6,FALSE)</f>
        <v>0</v>
      </c>
      <c r="E15" s="260">
        <f>VLOOKUP(A15,'6.MHAC Modeling Results'!$A$4:$K$49,10,FALSE)</f>
        <v>1.0526315789473866E-3</v>
      </c>
      <c r="F15" s="310">
        <f>VLOOKUP(A15,'4.QBR Modeling Results'!$A$3:$I$45,8,FALSE)</f>
        <v>1.2481654583890098E-3</v>
      </c>
      <c r="G15" s="310">
        <f>VLOOKUP(A15,'2.RRIP Modeling Results'!$A$3:$AD$48,24,FALSE)</f>
        <v>-1.9617021541415636E-2</v>
      </c>
      <c r="H15" s="310"/>
      <c r="I15" s="310">
        <f t="shared" si="0"/>
        <v>-1.8368856083026627E-2</v>
      </c>
      <c r="J15" s="311">
        <f t="shared" si="5"/>
        <v>-1402242.6410746675</v>
      </c>
      <c r="K15" s="311"/>
      <c r="L15" s="310">
        <f t="shared" si="1"/>
        <v>-1.7316224504079242E-2</v>
      </c>
      <c r="M15" s="311">
        <f t="shared" si="2"/>
        <v>-1321886.7997163322</v>
      </c>
      <c r="N15" s="310">
        <f>IF(I15&lt;0, IF(I15&lt;'7Aggregate Summary'!$B$4,'7Aggregate Summary'!$B$4,'8.Consolidated'!I30),I15)</f>
        <v>-2.394311706582046E-3</v>
      </c>
      <c r="O15" s="311">
        <f t="shared" si="3"/>
        <v>-182777.08507368329</v>
      </c>
      <c r="P15" s="310">
        <f>IF(L15&lt;0, IF(L15&lt;'7Aggregate Summary'!$B$4,'7Aggregate Summary'!$B$4,'8.Consolidated'!L30),L15)</f>
        <v>7.8896639526471538E-3</v>
      </c>
      <c r="Q15" s="311">
        <f t="shared" si="4"/>
        <v>80355.841358335339</v>
      </c>
      <c r="R15" s="311"/>
    </row>
    <row r="16" spans="1:18" ht="15.6">
      <c r="A16" s="196">
        <v>210009</v>
      </c>
      <c r="B16" s="332" t="s">
        <v>59</v>
      </c>
      <c r="C16" s="209">
        <f>VLOOKUP(A16,Revenue!$A$2:$C$47,3,0)</f>
        <v>1292515919.3162181</v>
      </c>
      <c r="D16" s="310">
        <f>VLOOKUP(A16,'6.MHAC Modeling Results'!$A$4:$K$49,6,FALSE)</f>
        <v>-1.9411764705882344E-2</v>
      </c>
      <c r="E16" s="260">
        <f>VLOOKUP(A16,'6.MHAC Modeling Results'!$A$4:$K$49,10,FALSE)</f>
        <v>-4.8275862068965485E-3</v>
      </c>
      <c r="F16" s="310">
        <f>VLOOKUP(A16,'4.QBR Modeling Results'!$A$3:$I$45,8,FALSE)</f>
        <v>7.6833887914116925E-3</v>
      </c>
      <c r="G16" s="310">
        <f>VLOOKUP(A16,'2.RRIP Modeling Results'!$A$3:$AD$48,24,FALSE)</f>
        <v>-6.1226287472986177E-3</v>
      </c>
      <c r="H16" s="310"/>
      <c r="I16" s="310">
        <f t="shared" si="0"/>
        <v>-1.7851004661769268E-2</v>
      </c>
      <c r="J16" s="311">
        <f t="shared" si="5"/>
        <v>-23072707.701124802</v>
      </c>
      <c r="K16" s="311"/>
      <c r="L16" s="310">
        <f t="shared" si="1"/>
        <v>-3.2668261627834738E-3</v>
      </c>
      <c r="M16" s="311">
        <f t="shared" si="2"/>
        <v>-4222424.8210363546</v>
      </c>
      <c r="N16" s="310">
        <f>IF(I16&lt;0, IF(I16&lt;'7Aggregate Summary'!$B$4,'7Aggregate Summary'!$B$4,'8.Consolidated'!I10),I16)</f>
        <v>-2.5304978228468288E-2</v>
      </c>
      <c r="O16" s="311">
        <f t="shared" si="3"/>
        <v>-32707087.198245574</v>
      </c>
      <c r="P16" s="310">
        <f>IF(L16&lt;0, IF(L16&lt;'7Aggregate Summary'!$B$4,'7Aggregate Summary'!$B$4,'8.Consolidated'!L10),L16)</f>
        <v>-1.1451022853214747E-2</v>
      </c>
      <c r="Q16" s="311">
        <f t="shared" si="4"/>
        <v>-6239732.024285187</v>
      </c>
      <c r="R16" s="311"/>
    </row>
    <row r="17" spans="1:18" ht="15.6">
      <c r="A17" s="196">
        <v>210002</v>
      </c>
      <c r="B17" s="332" t="s">
        <v>53</v>
      </c>
      <c r="C17" s="209">
        <f>VLOOKUP(A17,Revenue!$A$2:$C$47,3,0)</f>
        <v>863843448.60398436</v>
      </c>
      <c r="D17" s="310">
        <f>VLOOKUP(A17,'6.MHAC Modeling Results'!$A$4:$K$49,6,FALSE)</f>
        <v>-1.9411764705882344E-2</v>
      </c>
      <c r="E17" s="260">
        <f>VLOOKUP(A17,'6.MHAC Modeling Results'!$A$4:$K$49,10,FALSE)</f>
        <v>-4.4827586206896515E-3</v>
      </c>
      <c r="F17" s="310">
        <f>VLOOKUP(A17,'4.QBR Modeling Results'!$A$3:$I$45,8,FALSE)</f>
        <v>2.2892062242669681E-3</v>
      </c>
      <c r="G17" s="310">
        <f>VLOOKUP(A17,'2.RRIP Modeling Results'!$A$3:$AD$48,24,FALSE)</f>
        <v>-4.5764689297921464E-4</v>
      </c>
      <c r="H17" s="310"/>
      <c r="I17" s="310">
        <f t="shared" si="0"/>
        <v>-1.758020537459459E-2</v>
      </c>
      <c r="J17" s="311">
        <f t="shared" si="5"/>
        <v>-15186545.23795609</v>
      </c>
      <c r="K17" s="311"/>
      <c r="L17" s="310">
        <f t="shared" si="1"/>
        <v>-2.6511992894018982E-3</v>
      </c>
      <c r="M17" s="311">
        <f t="shared" si="2"/>
        <v>-2290221.1370933685</v>
      </c>
      <c r="N17" s="310">
        <f>IF(I17&lt;0, IF(I17&lt;'7Aggregate Summary'!$B$4,'7Aggregate Summary'!$B$4,'8.Consolidated'!I4),I17)</f>
        <v>-4.6687933944196583E-2</v>
      </c>
      <c r="O17" s="311">
        <f t="shared" si="3"/>
        <v>-40331065.866549797</v>
      </c>
      <c r="P17" s="310">
        <f>IF(L17&lt;0, IF(L17&lt;'7Aggregate Summary'!$B$4,'7Aggregate Summary'!$B$4,'8.Consolidated'!L4),L17)</f>
        <v>-2.7651422788009979E-2</v>
      </c>
      <c r="Q17" s="311">
        <f t="shared" si="4"/>
        <v>-3872401.6661557886</v>
      </c>
      <c r="R17" s="311"/>
    </row>
    <row r="18" spans="1:18" ht="15.6">
      <c r="A18" s="196">
        <v>210010</v>
      </c>
      <c r="B18" s="332" t="s">
        <v>60</v>
      </c>
      <c r="C18" s="209">
        <f>VLOOKUP(A18,Revenue!$A$2:$C$47,3,0)</f>
        <v>25127934.983499374</v>
      </c>
      <c r="D18" s="310">
        <f>VLOOKUP(A18,'6.MHAC Modeling Results'!$A$4:$K$49,6,FALSE)</f>
        <v>-9.7058823529411579E-3</v>
      </c>
      <c r="E18" s="260">
        <f>VLOOKUP(A18,'6.MHAC Modeling Results'!$A$4:$K$49,10,FALSE)</f>
        <v>-6.8965517241378546E-4</v>
      </c>
      <c r="F18" s="310">
        <f>VLOOKUP(A18,'4.QBR Modeling Results'!$A$3:$I$45,8,FALSE)</f>
        <v>8.1553311159041422E-3</v>
      </c>
      <c r="G18" s="310">
        <f>VLOOKUP(A18,'2.RRIP Modeling Results'!$A$3:$AD$48,24,FALSE)</f>
        <v>-1.4252201339744412E-2</v>
      </c>
      <c r="H18" s="310"/>
      <c r="I18" s="310">
        <f t="shared" si="0"/>
        <v>-1.5802752576781428E-2</v>
      </c>
      <c r="J18" s="311">
        <f t="shared" si="5"/>
        <v>-397090.53930969094</v>
      </c>
      <c r="K18" s="311"/>
      <c r="L18" s="310">
        <f t="shared" si="1"/>
        <v>-6.7865253962540555E-3</v>
      </c>
      <c r="M18" s="311">
        <f t="shared" si="2"/>
        <v>-170531.36892093925</v>
      </c>
      <c r="N18" s="310">
        <f>IF(I18&lt;0, IF(I18&lt;'7Aggregate Summary'!$B$4,'7Aggregate Summary'!$B$4,'8.Consolidated'!I11),I18)</f>
        <v>-2.0748021529559055E-2</v>
      </c>
      <c r="O18" s="311">
        <f t="shared" si="3"/>
        <v>-521354.93603100517</v>
      </c>
      <c r="P18" s="310">
        <f>IF(L18&lt;0, IF(L18&lt;'7Aggregate Summary'!$B$4,'7Aggregate Summary'!$B$4,'8.Consolidated'!L11),L18)</f>
        <v>-1.0656743639092534E-2</v>
      </c>
      <c r="Q18" s="311">
        <f t="shared" si="4"/>
        <v>-17329.610333447654</v>
      </c>
      <c r="R18" s="311"/>
    </row>
    <row r="19" spans="1:18" ht="15.6">
      <c r="A19" s="196">
        <v>210060</v>
      </c>
      <c r="B19" s="332" t="s">
        <v>94</v>
      </c>
      <c r="C19" s="209">
        <f>VLOOKUP(A19,Revenue!$A$2:$C$47,3,0)</f>
        <v>17776133.449990414</v>
      </c>
      <c r="D19" s="310">
        <f>VLOOKUP(A19,'6.MHAC Modeling Results'!$A$4:$K$49,6,FALSE)</f>
        <v>0</v>
      </c>
      <c r="E19" s="260">
        <f>VLOOKUP(A19,'6.MHAC Modeling Results'!$A$4:$K$49,10,FALSE)</f>
        <v>1.7347234759768071E-17</v>
      </c>
      <c r="F19" s="310">
        <f>VLOOKUP(A19,'4.QBR Modeling Results'!$A$3:$I$45,8,FALSE)</f>
        <v>-6.7697890550552642E-3</v>
      </c>
      <c r="G19" s="310">
        <f>VLOOKUP(A19,'2.RRIP Modeling Results'!$A$3:$AD$48,24,FALSE)</f>
        <v>-5.6358983990913436E-3</v>
      </c>
      <c r="H19" s="310"/>
      <c r="I19" s="310">
        <f t="shared" si="0"/>
        <v>-1.2405687454146608E-2</v>
      </c>
      <c r="J19" s="311">
        <f t="shared" si="5"/>
        <v>-220525.15572378194</v>
      </c>
      <c r="K19" s="311"/>
      <c r="L19" s="310">
        <f t="shared" si="1"/>
        <v>-1.240568745414659E-2</v>
      </c>
      <c r="M19" s="311">
        <f t="shared" si="2"/>
        <v>-220525.15572378162</v>
      </c>
      <c r="N19" s="310">
        <f>IF(I19&lt;0, IF(I19&lt;'7Aggregate Summary'!$B$4,'7Aggregate Summary'!$B$4,'8.Consolidated'!I45),I19)</f>
        <v>1.4259860933532768E-2</v>
      </c>
      <c r="O19" s="311">
        <f t="shared" si="3"/>
        <v>253485.19093278336</v>
      </c>
      <c r="P19" s="310">
        <f>IF(L19&lt;0, IF(L19&lt;'7Aggregate Summary'!$B$4,'7Aggregate Summary'!$B$4,'8.Consolidated'!L45),L19)</f>
        <v>2.4259860933532766E-2</v>
      </c>
      <c r="Q19" s="311">
        <f t="shared" si="4"/>
        <v>3.0836676007794966E-10</v>
      </c>
      <c r="R19" s="311"/>
    </row>
    <row r="20" spans="1:18" ht="15.6">
      <c r="A20" s="196">
        <v>210024</v>
      </c>
      <c r="B20" s="332" t="s">
        <v>71</v>
      </c>
      <c r="C20" s="209">
        <f>VLOOKUP(A20,Revenue!$A$2:$C$47,3,0)</f>
        <v>242505500.48554313</v>
      </c>
      <c r="D20" s="310">
        <f>VLOOKUP(A20,'6.MHAC Modeling Results'!$A$4:$K$49,6,FALSE)</f>
        <v>-1.9411764705882344E-2</v>
      </c>
      <c r="E20" s="260">
        <f>VLOOKUP(A20,'6.MHAC Modeling Results'!$A$4:$K$49,10,FALSE)</f>
        <v>-4.4827586206896515E-3</v>
      </c>
      <c r="F20" s="310">
        <f>VLOOKUP(A20,'4.QBR Modeling Results'!$A$3:$I$45,8,FALSE)</f>
        <v>-2.4797446537891815E-3</v>
      </c>
      <c r="G20" s="310">
        <f>VLOOKUP(A20,'2.RRIP Modeling Results'!$A$3:$AD$48,24,FALSE)</f>
        <v>0.01</v>
      </c>
      <c r="H20" s="310"/>
      <c r="I20" s="310">
        <f t="shared" si="0"/>
        <v>-1.1891509359671525E-2</v>
      </c>
      <c r="J20" s="311">
        <f t="shared" si="5"/>
        <v>-2883756.4287956636</v>
      </c>
      <c r="K20" s="311"/>
      <c r="L20" s="310">
        <f t="shared" si="1"/>
        <v>3.0374967255211672E-3</v>
      </c>
      <c r="M20" s="311">
        <f t="shared" si="2"/>
        <v>736609.66364570905</v>
      </c>
      <c r="N20" s="310">
        <f>IF(I20&lt;0, IF(I20&lt;'7Aggregate Summary'!$B$4,'7Aggregate Summary'!$B$4,'8.Consolidated'!I22),I20)</f>
        <v>-8.8864013362309775E-3</v>
      </c>
      <c r="O20" s="311">
        <f t="shared" si="3"/>
        <v>-2155001.2035580925</v>
      </c>
      <c r="P20" s="310">
        <f>IF(L20&lt;0, IF(L20&lt;'7Aggregate Summary'!$B$4,'7Aggregate Summary'!$B$4,'8.Consolidated'!L22),L20)</f>
        <v>3.0374967255211672E-3</v>
      </c>
      <c r="Q20" s="311">
        <f t="shared" si="4"/>
        <v>-1087093.6228662268</v>
      </c>
      <c r="R20" s="311"/>
    </row>
    <row r="21" spans="1:18" ht="15.6">
      <c r="A21" s="196">
        <v>210015</v>
      </c>
      <c r="B21" s="332" t="s">
        <v>64</v>
      </c>
      <c r="C21" s="209">
        <f>VLOOKUP(A21,Revenue!$A$2:$C$47,3,0)</f>
        <v>285691170.35922825</v>
      </c>
      <c r="D21" s="310">
        <f>VLOOKUP(A21,'6.MHAC Modeling Results'!$A$4:$K$49,6,FALSE)</f>
        <v>-8.8235294117646884E-3</v>
      </c>
      <c r="E21" s="260">
        <f>VLOOKUP(A21,'6.MHAC Modeling Results'!$A$4:$K$49,10,FALSE)</f>
        <v>0</v>
      </c>
      <c r="F21" s="310">
        <f>VLOOKUP(A21,'4.QBR Modeling Results'!$A$3:$I$45,8,FALSE)</f>
        <v>-4.06974600506654E-3</v>
      </c>
      <c r="G21" s="310">
        <f>VLOOKUP(A21,'2.RRIP Modeling Results'!$A$3:$AD$48,24,FALSE)</f>
        <v>1.4647059012831835E-3</v>
      </c>
      <c r="H21" s="310"/>
      <c r="I21" s="310">
        <f t="shared" si="0"/>
        <v>-1.1428569515548045E-2</v>
      </c>
      <c r="J21" s="311">
        <f t="shared" si="5"/>
        <v>-3265041.4004287194</v>
      </c>
      <c r="K21" s="311"/>
      <c r="L21" s="310">
        <f t="shared" si="1"/>
        <v>-2.6050401037833563E-3</v>
      </c>
      <c r="M21" s="311">
        <f t="shared" si="2"/>
        <v>-744236.95608259249</v>
      </c>
      <c r="N21" s="310">
        <f>IF(I21&lt;0, IF(I21&lt;'7Aggregate Summary'!$B$4,'7Aggregate Summary'!$B$4,'8.Consolidated'!I15),I21)</f>
        <v>-1.8368856083026627E-2</v>
      </c>
      <c r="O21" s="311">
        <f t="shared" si="3"/>
        <v>-5247819.992520106</v>
      </c>
      <c r="P21" s="310">
        <f>IF(L21&lt;0, IF(L21&lt;'7Aggregate Summary'!$B$4,'7Aggregate Summary'!$B$4,'8.Consolidated'!L15),L21)</f>
        <v>-1.7316224504079242E-2</v>
      </c>
      <c r="Q21" s="311">
        <f t="shared" si="4"/>
        <v>0</v>
      </c>
      <c r="R21" s="311"/>
    </row>
    <row r="22" spans="1:18" ht="15.6">
      <c r="A22" s="196">
        <v>210040</v>
      </c>
      <c r="B22" s="332" t="s">
        <v>83</v>
      </c>
      <c r="C22" s="209">
        <f>VLOOKUP(A22,Revenue!$A$2:$C$47,3,0)</f>
        <v>142186717.48751882</v>
      </c>
      <c r="D22" s="310">
        <f>VLOOKUP(A22,'6.MHAC Modeling Results'!$A$4:$K$49,6,FALSE)</f>
        <v>-1.3235294117647043E-2</v>
      </c>
      <c r="E22" s="260">
        <f>VLOOKUP(A22,'6.MHAC Modeling Results'!$A$4:$K$49,10,FALSE)</f>
        <v>-2.0689655172413737E-3</v>
      </c>
      <c r="F22" s="310">
        <f>VLOOKUP(A22,'4.QBR Modeling Results'!$A$3:$I$45,8,FALSE)</f>
        <v>-5.6511072185839364E-3</v>
      </c>
      <c r="G22" s="310">
        <f>VLOOKUP(A22,'2.RRIP Modeling Results'!$A$3:$AD$48,24,FALSE)</f>
        <v>0.01</v>
      </c>
      <c r="H22" s="310"/>
      <c r="I22" s="310">
        <f t="shared" si="0"/>
        <v>-8.8864013362309775E-3</v>
      </c>
      <c r="J22" s="311">
        <f t="shared" si="5"/>
        <v>-1263528.2362753837</v>
      </c>
      <c r="K22" s="311"/>
      <c r="L22" s="310">
        <f t="shared" si="1"/>
        <v>2.2799272641746901E-3</v>
      </c>
      <c r="M22" s="311">
        <f t="shared" si="2"/>
        <v>324175.37380329834</v>
      </c>
      <c r="N22" s="310">
        <f>IF(I22&lt;0, IF(I22&lt;'7Aggregate Summary'!$B$4,'7Aggregate Summary'!$B$4,'8.Consolidated'!I34),I22)</f>
        <v>2.4940123141110708E-4</v>
      </c>
      <c r="O22" s="311">
        <f t="shared" si="3"/>
        <v>35461.542431690388</v>
      </c>
      <c r="P22" s="310">
        <f>IF(L22&lt;0, IF(L22&lt;'7Aggregate Summary'!$B$4,'7Aggregate Summary'!$B$4,'8.Consolidated'!L34),L22)</f>
        <v>2.2799272641746901E-3</v>
      </c>
      <c r="Q22" s="311">
        <f t="shared" si="4"/>
        <v>-294179.41549141746</v>
      </c>
      <c r="R22" s="311"/>
    </row>
    <row r="23" spans="1:18" ht="15.6">
      <c r="A23" s="196">
        <v>210003</v>
      </c>
      <c r="B23" s="332" t="s">
        <v>54</v>
      </c>
      <c r="C23" s="209">
        <f>VLOOKUP(A23,Revenue!$A$2:$C$47,3,0)</f>
        <v>177243165.22063905</v>
      </c>
      <c r="D23" s="310">
        <f>VLOOKUP(A23,'6.MHAC Modeling Results'!$A$4:$K$49,6,FALSE)</f>
        <v>0</v>
      </c>
      <c r="E23" s="260">
        <f>VLOOKUP(A23,'6.MHAC Modeling Results'!$A$4:$K$49,10,FALSE)</f>
        <v>0</v>
      </c>
      <c r="F23" s="310">
        <f>VLOOKUP(A23,'4.QBR Modeling Results'!$A$3:$I$45,8,FALSE)</f>
        <v>-1.6759948340013535E-2</v>
      </c>
      <c r="G23" s="310">
        <f>VLOOKUP(A23,'2.RRIP Modeling Results'!$A$3:$AD$48,24,FALSE)</f>
        <v>0.01</v>
      </c>
      <c r="H23" s="310"/>
      <c r="I23" s="310">
        <f t="shared" si="0"/>
        <v>-6.7599483400135347E-3</v>
      </c>
      <c r="J23" s="311">
        <f t="shared" si="5"/>
        <v>-1198154.6405120036</v>
      </c>
      <c r="K23" s="311"/>
      <c r="L23" s="310">
        <f t="shared" si="1"/>
        <v>-6.7599483400135347E-3</v>
      </c>
      <c r="M23" s="311">
        <f t="shared" si="2"/>
        <v>-1198154.6405120036</v>
      </c>
      <c r="N23" s="310">
        <f>IF(I23&lt;0, IF(I23&lt;'7Aggregate Summary'!$B$4,'7Aggregate Summary'!$B$4,'8.Consolidated'!I5),I23)</f>
        <v>-3.8987282243974283E-2</v>
      </c>
      <c r="O23" s="311">
        <f t="shared" si="3"/>
        <v>-6910229.3082724214</v>
      </c>
      <c r="P23" s="310">
        <f>IF(L23&lt;0, IF(L23&lt;'7Aggregate Summary'!$B$4,'7Aggregate Summary'!$B$4,'8.Consolidated'!L5),L23)</f>
        <v>-2.1025821797726822E-2</v>
      </c>
      <c r="Q23" s="311">
        <f t="shared" si="4"/>
        <v>0</v>
      </c>
      <c r="R23" s="311"/>
    </row>
    <row r="24" spans="1:18" ht="15.6">
      <c r="A24" s="196">
        <v>210057</v>
      </c>
      <c r="B24" s="332" t="s">
        <v>92</v>
      </c>
      <c r="C24" s="209">
        <f>VLOOKUP(A24,Revenue!$A$2:$C$47,3,0)</f>
        <v>228731774.96088892</v>
      </c>
      <c r="D24" s="310">
        <f>VLOOKUP(A24,'6.MHAC Modeling Results'!$A$4:$K$49,6,FALSE)</f>
        <v>-5.2941176470587999E-3</v>
      </c>
      <c r="E24" s="260">
        <f>VLOOKUP(A24,'6.MHAC Modeling Results'!$A$4:$K$49,10,FALSE)</f>
        <v>0</v>
      </c>
      <c r="F24" s="310">
        <f>VLOOKUP(A24,'4.QBR Modeling Results'!$A$3:$I$45,8,FALSE)</f>
        <v>-5.4197675300609021E-3</v>
      </c>
      <c r="G24" s="310">
        <f>VLOOKUP(A24,'2.RRIP Modeling Results'!$A$3:$AD$48,24,FALSE)</f>
        <v>4.5505210773205138E-3</v>
      </c>
      <c r="H24" s="310"/>
      <c r="I24" s="310">
        <f t="shared" si="0"/>
        <v>-6.1633640997991882E-3</v>
      </c>
      <c r="J24" s="311">
        <f t="shared" si="5"/>
        <v>-1409757.2102772896</v>
      </c>
      <c r="K24" s="311"/>
      <c r="L24" s="310">
        <f t="shared" si="1"/>
        <v>-8.6924645274038832E-4</v>
      </c>
      <c r="M24" s="311">
        <f t="shared" si="2"/>
        <v>-198824.28401376546</v>
      </c>
      <c r="N24" s="310">
        <f>IF(I24&lt;0, IF(I24&lt;'7Aggregate Summary'!$B$4,'7Aggregate Summary'!$B$4,'8.Consolidated'!I43),I24)</f>
        <v>1.0134406509778687E-2</v>
      </c>
      <c r="O24" s="311">
        <f t="shared" si="3"/>
        <v>2318060.7891568663</v>
      </c>
      <c r="P24" s="310">
        <f>IF(L24&lt;0, IF(L24&lt;'7Aggregate Summary'!$B$4,'7Aggregate Summary'!$B$4,'8.Consolidated'!L43),L24)</f>
        <v>1.0134406509778687E-2</v>
      </c>
      <c r="Q24" s="311">
        <f t="shared" si="4"/>
        <v>0</v>
      </c>
      <c r="R24" s="311"/>
    </row>
    <row r="25" spans="1:18" ht="15.6">
      <c r="A25" s="196">
        <v>210055</v>
      </c>
      <c r="B25" s="332" t="s">
        <v>90</v>
      </c>
      <c r="C25" s="209">
        <f>VLOOKUP(A25,Revenue!$A$2:$C$47,3,0)</f>
        <v>77501975.342135206</v>
      </c>
      <c r="D25" s="310">
        <f>VLOOKUP(A25,'6.MHAC Modeling Results'!$A$4:$K$49,6,FALSE)</f>
        <v>-8.8235294117646884E-3</v>
      </c>
      <c r="E25" s="260">
        <f>VLOOKUP(A25,'6.MHAC Modeling Results'!$A$4:$K$49,10,FALSE)</f>
        <v>-3.4482758620688753E-4</v>
      </c>
      <c r="F25" s="310">
        <f>VLOOKUP(A25,'4.QBR Modeling Results'!$A$3:$I$45,8,FALSE)</f>
        <v>-6.8084536715311023E-3</v>
      </c>
      <c r="G25" s="310">
        <f>VLOOKUP(A25,'2.RRIP Modeling Results'!$A$3:$AD$48,24,FALSE)</f>
        <v>0.01</v>
      </c>
      <c r="H25" s="310"/>
      <c r="I25" s="310">
        <f t="shared" si="0"/>
        <v>-5.6319830832957888E-3</v>
      </c>
      <c r="J25" s="311">
        <f t="shared" si="5"/>
        <v>-436489.81404891284</v>
      </c>
      <c r="K25" s="311"/>
      <c r="L25" s="310">
        <f t="shared" si="1"/>
        <v>2.8467187422620104E-3</v>
      </c>
      <c r="M25" s="311">
        <f t="shared" si="2"/>
        <v>220626.32576878447</v>
      </c>
      <c r="N25" s="310">
        <f>IF(I25&lt;0, IF(I25&lt;'7Aggregate Summary'!$B$4,'7Aggregate Summary'!$B$4,'8.Consolidated'!I41),I25)</f>
        <v>7.2638467294391992E-3</v>
      </c>
      <c r="O25" s="311">
        <f t="shared" si="3"/>
        <v>562962.47011404624</v>
      </c>
      <c r="P25" s="310">
        <f>IF(L25&lt;0, IF(L25&lt;'7Aggregate Summary'!$B$4,'7Aggregate Summary'!$B$4,'8.Consolidated'!L41),L25)</f>
        <v>2.8467187422620104E-3</v>
      </c>
      <c r="Q25" s="311">
        <f t="shared" si="4"/>
        <v>-26724.8190834942</v>
      </c>
      <c r="R25" s="311"/>
    </row>
    <row r="26" spans="1:18" ht="15.6">
      <c r="A26" s="196">
        <v>210043</v>
      </c>
      <c r="B26" s="332" t="s">
        <v>84</v>
      </c>
      <c r="C26" s="209">
        <f>VLOOKUP(A26,Revenue!$A$2:$C$47,3,0)</f>
        <v>223155125.99975017</v>
      </c>
      <c r="D26" s="310">
        <f>VLOOKUP(A26,'6.MHAC Modeling Results'!$A$4:$K$49,6,FALSE)</f>
        <v>-1.6764705882352932E-2</v>
      </c>
      <c r="E26" s="260">
        <f>VLOOKUP(A26,'6.MHAC Modeling Results'!$A$4:$K$49,10,FALSE)</f>
        <v>-3.1034482758620641E-3</v>
      </c>
      <c r="F26" s="310">
        <f>VLOOKUP(A26,'4.QBR Modeling Results'!$A$3:$I$45,8,FALSE)</f>
        <v>2.6896508722327669E-3</v>
      </c>
      <c r="G26" s="310">
        <f>VLOOKUP(A26,'2.RRIP Modeling Results'!$A$3:$AD$48,24,FALSE)</f>
        <v>8.666089440608607E-3</v>
      </c>
      <c r="H26" s="310"/>
      <c r="I26" s="310">
        <f t="shared" si="0"/>
        <v>-5.4089655695115577E-3</v>
      </c>
      <c r="J26" s="311">
        <f t="shared" si="5"/>
        <v>-1207038.3931926622</v>
      </c>
      <c r="K26" s="311"/>
      <c r="L26" s="310">
        <f t="shared" si="1"/>
        <v>8.2522920369793099E-3</v>
      </c>
      <c r="M26" s="311">
        <f t="shared" si="2"/>
        <v>1841541.2692988529</v>
      </c>
      <c r="N26" s="310">
        <f>IF(I26&lt;0, IF(I26&lt;'7Aggregate Summary'!$B$4,'7Aggregate Summary'!$B$4,'8.Consolidated'!I35),I26)</f>
        <v>8.388368164307259E-4</v>
      </c>
      <c r="O26" s="311">
        <f t="shared" si="3"/>
        <v>187190.73546382794</v>
      </c>
      <c r="P26" s="310">
        <f>IF(L26&lt;0, IF(L26&lt;'7Aggregate Summary'!$B$4,'7Aggregate Summary'!$B$4,'8.Consolidated'!L35),L26)</f>
        <v>8.2522920369793099E-3</v>
      </c>
      <c r="Q26" s="311">
        <f t="shared" si="4"/>
        <v>-692550.39103370637</v>
      </c>
      <c r="R26" s="311"/>
    </row>
    <row r="27" spans="1:18" ht="15.6">
      <c r="A27" s="196">
        <v>210018</v>
      </c>
      <c r="B27" s="332" t="s">
        <v>67</v>
      </c>
      <c r="C27" s="209">
        <f>VLOOKUP(A27,Revenue!$A$2:$C$47,3,0)</f>
        <v>87652208.15841648</v>
      </c>
      <c r="D27" s="310">
        <f>VLOOKUP(A27,'6.MHAC Modeling Results'!$A$4:$K$49,6,FALSE)</f>
        <v>-1.0588235294117631E-2</v>
      </c>
      <c r="E27" s="260">
        <f>VLOOKUP(A27,'6.MHAC Modeling Results'!$A$4:$K$49,10,FALSE)</f>
        <v>-1.3793103448275796E-3</v>
      </c>
      <c r="F27" s="310">
        <f>VLOOKUP(A27,'4.QBR Modeling Results'!$A$3:$I$45,8,FALSE)</f>
        <v>-4.6097546150642883E-3</v>
      </c>
      <c r="G27" s="310">
        <f>VLOOKUP(A27,'2.RRIP Modeling Results'!$A$3:$AD$48,24,FALSE)</f>
        <v>0.01</v>
      </c>
      <c r="H27" s="310"/>
      <c r="I27" s="310">
        <f t="shared" si="0"/>
        <v>-5.1979899091819191E-3</v>
      </c>
      <c r="J27" s="311">
        <f t="shared" si="5"/>
        <v>-455615.29352496192</v>
      </c>
      <c r="K27" s="311"/>
      <c r="L27" s="310">
        <f t="shared" si="1"/>
        <v>4.0109350401081323E-3</v>
      </c>
      <c r="M27" s="311">
        <f t="shared" si="2"/>
        <v>351567.31304544455</v>
      </c>
      <c r="N27" s="310">
        <f>IF(I27&lt;0, IF(I27&lt;'7Aggregate Summary'!$B$4,'7Aggregate Summary'!$B$4,'8.Consolidated'!I18),I27)</f>
        <v>-1.5802752576781428E-2</v>
      </c>
      <c r="O27" s="311">
        <f t="shared" si="3"/>
        <v>-1385146.1583359982</v>
      </c>
      <c r="P27" s="310">
        <f>IF(L27&lt;0, IF(L27&lt;'7Aggregate Summary'!$B$4,'7Aggregate Summary'!$B$4,'8.Consolidated'!L18),L27)</f>
        <v>4.0109350401081323E-3</v>
      </c>
      <c r="Q27" s="311">
        <f t="shared" si="4"/>
        <v>-120899.59745988421</v>
      </c>
      <c r="R27" s="311"/>
    </row>
    <row r="28" spans="1:18" ht="15.6">
      <c r="A28" s="196">
        <v>210011</v>
      </c>
      <c r="B28" s="332" t="s">
        <v>61</v>
      </c>
      <c r="C28" s="209">
        <f>VLOOKUP(A28,Revenue!$A$2:$C$47,3,0)</f>
        <v>239121555.83864471</v>
      </c>
      <c r="D28" s="310">
        <f>VLOOKUP(A28,'6.MHAC Modeling Results'!$A$4:$K$49,6,FALSE)</f>
        <v>-1.0588235294117631E-2</v>
      </c>
      <c r="E28" s="260">
        <f>VLOOKUP(A28,'6.MHAC Modeling Results'!$A$4:$K$49,10,FALSE)</f>
        <v>-1.3793103448275796E-3</v>
      </c>
      <c r="F28" s="310">
        <f>VLOOKUP(A28,'4.QBR Modeling Results'!$A$3:$I$45,8,FALSE)</f>
        <v>-4.6097546150642849E-3</v>
      </c>
      <c r="G28" s="310">
        <f>VLOOKUP(A28,'2.RRIP Modeling Results'!$A$3:$AD$48,24,FALSE)</f>
        <v>0.01</v>
      </c>
      <c r="H28" s="310"/>
      <c r="I28" s="310">
        <f t="shared" si="0"/>
        <v>-5.1979899091819156E-3</v>
      </c>
      <c r="J28" s="311">
        <f t="shared" si="5"/>
        <v>-1242951.4343171553</v>
      </c>
      <c r="K28" s="311"/>
      <c r="L28" s="310">
        <f t="shared" si="1"/>
        <v>4.0109350401081358E-3</v>
      </c>
      <c r="M28" s="311">
        <f t="shared" si="2"/>
        <v>959101.02715839422</v>
      </c>
      <c r="N28" s="310">
        <f>IF(I28&lt;0, IF(I28&lt;'7Aggregate Summary'!$B$4,'7Aggregate Summary'!$B$4,'8.Consolidated'!I12),I28)</f>
        <v>-1.9851043138623369E-2</v>
      </c>
      <c r="O28" s="311">
        <f t="shared" si="3"/>
        <v>-4746812.3203276731</v>
      </c>
      <c r="P28" s="310">
        <f>IF(L28&lt;0, IF(L28&lt;'7Aggregate Summary'!$B$4,'7Aggregate Summary'!$B$4,'8.Consolidated'!L12),L28)</f>
        <v>4.0109350401081358E-3</v>
      </c>
      <c r="Q28" s="311">
        <f t="shared" si="4"/>
        <v>-329822.83563950838</v>
      </c>
      <c r="R28" s="311"/>
    </row>
    <row r="29" spans="1:18" ht="15.6">
      <c r="A29" s="196">
        <v>210032</v>
      </c>
      <c r="B29" s="332" t="s">
        <v>76</v>
      </c>
      <c r="C29" s="209">
        <f>VLOOKUP(A29,Revenue!$A$2:$C$47,3,0)</f>
        <v>67852188.547545061</v>
      </c>
      <c r="D29" s="310">
        <f>VLOOKUP(A29,'6.MHAC Modeling Results'!$A$4:$K$49,6,FALSE)</f>
        <v>0</v>
      </c>
      <c r="E29" s="260">
        <f>VLOOKUP(A29,'6.MHAC Modeling Results'!$A$4:$K$49,10,FALSE)</f>
        <v>0</v>
      </c>
      <c r="F29" s="310">
        <f>VLOOKUP(A29,'4.QBR Modeling Results'!$A$3:$I$45,8,FALSE)</f>
        <v>2.2263574602233811E-3</v>
      </c>
      <c r="G29" s="310">
        <f>VLOOKUP(A29,'2.RRIP Modeling Results'!$A$3:$AD$48,24,FALSE)</f>
        <v>-6.8881991823856849E-3</v>
      </c>
      <c r="H29" s="310"/>
      <c r="I29" s="310">
        <f t="shared" si="0"/>
        <v>-4.6618417221623038E-3</v>
      </c>
      <c r="J29" s="311">
        <f t="shared" si="5"/>
        <v>-316316.16351096879</v>
      </c>
      <c r="K29" s="311"/>
      <c r="L29" s="310">
        <f t="shared" si="1"/>
        <v>-4.6618417221623038E-3</v>
      </c>
      <c r="M29" s="311">
        <f t="shared" si="2"/>
        <v>-316316.16351096879</v>
      </c>
      <c r="N29" s="310">
        <f>IF(I29&lt;0, IF(I29&lt;'7Aggregate Summary'!$B$4,'7Aggregate Summary'!$B$4,'8.Consolidated'!I27),I29)</f>
        <v>-5.1979899091819191E-3</v>
      </c>
      <c r="O29" s="311">
        <f t="shared" si="3"/>
        <v>-352694.9913860482</v>
      </c>
      <c r="P29" s="310">
        <f>IF(L29&lt;0, IF(L29&lt;'7Aggregate Summary'!$B$4,'7Aggregate Summary'!$B$4,'8.Consolidated'!L27),L29)</f>
        <v>4.0109350401081323E-3</v>
      </c>
      <c r="Q29" s="311">
        <f t="shared" si="4"/>
        <v>0</v>
      </c>
      <c r="R29" s="311"/>
    </row>
    <row r="30" spans="1:18" ht="15.6">
      <c r="A30" s="196">
        <v>210034</v>
      </c>
      <c r="B30" s="332" t="s">
        <v>78</v>
      </c>
      <c r="C30" s="209">
        <f>VLOOKUP(A30,Revenue!$A$2:$C$47,3,0)</f>
        <v>124002219.66514386</v>
      </c>
      <c r="D30" s="310">
        <f>VLOOKUP(A30,'6.MHAC Modeling Results'!$A$4:$K$49,6,FALSE)</f>
        <v>-1.2352941176470573E-2</v>
      </c>
      <c r="E30" s="260">
        <f>VLOOKUP(A30,'6.MHAC Modeling Results'!$A$4:$K$49,10,FALSE)</f>
        <v>-2.0689655172413737E-3</v>
      </c>
      <c r="F30" s="310">
        <f>VLOOKUP(A30,'4.QBR Modeling Results'!$A$3:$I$45,8,FALSE)</f>
        <v>1.7372614593061941E-3</v>
      </c>
      <c r="G30" s="310">
        <f>VLOOKUP(A30,'2.RRIP Modeling Results'!$A$3:$AD$48,24,FALSE)</f>
        <v>8.2213680105823334E-3</v>
      </c>
      <c r="H30" s="310"/>
      <c r="I30" s="310">
        <f t="shared" si="0"/>
        <v>-2.394311706582046E-3</v>
      </c>
      <c r="J30" s="311">
        <f t="shared" si="5"/>
        <v>-296899.96618641232</v>
      </c>
      <c r="K30" s="311"/>
      <c r="L30" s="310">
        <f t="shared" si="1"/>
        <v>7.8896639526471538E-3</v>
      </c>
      <c r="M30" s="311">
        <f t="shared" si="2"/>
        <v>978335.84254031954</v>
      </c>
      <c r="N30" s="310">
        <f>IF(I30&lt;0, IF(I30&lt;'7Aggregate Summary'!$B$4,'7Aggregate Summary'!$B$4,'8.Consolidated'!I29),I30)</f>
        <v>-4.6618417221623038E-3</v>
      </c>
      <c r="O30" s="311">
        <f t="shared" si="3"/>
        <v>-578078.72127570258</v>
      </c>
      <c r="P30" s="310">
        <f>IF(L30&lt;0, IF(L30&lt;'7Aggregate Summary'!$B$4,'7Aggregate Summary'!$B$4,'8.Consolidated'!L29),L30)</f>
        <v>7.8896639526471538E-3</v>
      </c>
      <c r="Q30" s="311">
        <f t="shared" si="4"/>
        <v>-256556.31654857282</v>
      </c>
      <c r="R30" s="311"/>
    </row>
    <row r="31" spans="1:18" ht="15.6">
      <c r="A31" s="196">
        <v>210063</v>
      </c>
      <c r="B31" s="332" t="s">
        <v>97</v>
      </c>
      <c r="C31" s="209">
        <f>VLOOKUP(A31,Revenue!$A$2:$C$47,3,0)</f>
        <v>216335127.85977465</v>
      </c>
      <c r="D31" s="310">
        <f>VLOOKUP(A31,'6.MHAC Modeling Results'!$A$4:$K$49,6,FALSE)</f>
        <v>-1.2352941176470573E-2</v>
      </c>
      <c r="E31" s="260">
        <f>VLOOKUP(A31,'6.MHAC Modeling Results'!$A$4:$K$49,10,FALSE)</f>
        <v>-1.7241379310344775E-3</v>
      </c>
      <c r="F31" s="334">
        <v>0</v>
      </c>
      <c r="G31" s="310">
        <f>VLOOKUP(A31,'2.RRIP Modeling Results'!$A$3:$AD$48,24,FALSE)</f>
        <v>0.01</v>
      </c>
      <c r="H31" s="310"/>
      <c r="I31" s="310">
        <f t="shared" si="0"/>
        <v>-2.3529411764705733E-3</v>
      </c>
      <c r="J31" s="311">
        <f t="shared" si="5"/>
        <v>-509023.83025829005</v>
      </c>
      <c r="K31" s="311"/>
      <c r="L31" s="310">
        <f t="shared" si="1"/>
        <v>8.2758620689655227E-3</v>
      </c>
      <c r="M31" s="311">
        <f t="shared" si="2"/>
        <v>1790359.6788395154</v>
      </c>
      <c r="N31" s="310">
        <f>IF(I31&lt;0, IF(I31&lt;'7Aggregate Summary'!$B$4,'7Aggregate Summary'!$B$4,'8.Consolidated'!I48),I31)</f>
        <v>0.02</v>
      </c>
      <c r="O31" s="311">
        <f t="shared" si="3"/>
        <v>4326702.557195493</v>
      </c>
      <c r="P31" s="310">
        <f>IF(L31&lt;0, IF(L31&lt;'7Aggregate Summary'!$B$4,'7Aggregate Summary'!$B$4,'8.Consolidated'!L48),L31)</f>
        <v>8.2758620689655227E-3</v>
      </c>
      <c r="Q31" s="311">
        <f t="shared" si="4"/>
        <v>-372991.59975823102</v>
      </c>
      <c r="R31" s="311"/>
    </row>
    <row r="32" spans="1:18" ht="15.6">
      <c r="A32" s="196">
        <v>210012</v>
      </c>
      <c r="B32" s="332" t="s">
        <v>62</v>
      </c>
      <c r="C32" s="209">
        <f>VLOOKUP(A32,Revenue!$A$2:$C$47,3,0)</f>
        <v>429154678.73181057</v>
      </c>
      <c r="D32" s="310">
        <f>VLOOKUP(A32,'6.MHAC Modeling Results'!$A$4:$K$49,6,FALSE)</f>
        <v>-1.2352941176470573E-2</v>
      </c>
      <c r="E32" s="260">
        <f>VLOOKUP(A32,'6.MHAC Modeling Results'!$A$4:$K$49,10,FALSE)</f>
        <v>-2.0689655172413737E-3</v>
      </c>
      <c r="F32" s="310">
        <f>VLOOKUP(A32,'4.QBR Modeling Results'!$A$3:$I$45,8,FALSE)</f>
        <v>9.0783075218049854E-4</v>
      </c>
      <c r="G32" s="310">
        <f>VLOOKUP(A32,'2.RRIP Modeling Results'!$A$3:$AD$48,24,FALSE)</f>
        <v>0.01</v>
      </c>
      <c r="H32" s="310"/>
      <c r="I32" s="310">
        <f t="shared" si="0"/>
        <v>-1.4451104242900747E-3</v>
      </c>
      <c r="J32" s="311">
        <f t="shared" si="5"/>
        <v>-620175.89986819751</v>
      </c>
      <c r="K32" s="311"/>
      <c r="L32" s="310">
        <f t="shared" si="1"/>
        <v>8.838865234939125E-3</v>
      </c>
      <c r="M32" s="311">
        <f t="shared" si="2"/>
        <v>3793240.3702540696</v>
      </c>
      <c r="N32" s="310">
        <f>IF(I32&lt;0, IF(I32&lt;'7Aggregate Summary'!$B$4,'7Aggregate Summary'!$B$4,'8.Consolidated'!I13),I32)</f>
        <v>-1.9442653510013012E-2</v>
      </c>
      <c r="O32" s="311">
        <f t="shared" si="3"/>
        <v>-8343905.7207835428</v>
      </c>
      <c r="P32" s="310">
        <f>IF(L32&lt;0, IF(L32&lt;'7Aggregate Summary'!$B$4,'7Aggregate Summary'!$B$4,'8.Consolidated'!L13),L32)</f>
        <v>8.838865234939125E-3</v>
      </c>
      <c r="Q32" s="311">
        <f t="shared" si="4"/>
        <v>-887906.231858916</v>
      </c>
      <c r="R32" s="311"/>
    </row>
    <row r="33" spans="1:18" ht="15.6">
      <c r="A33" s="196">
        <v>210051</v>
      </c>
      <c r="B33" s="332" t="s">
        <v>89</v>
      </c>
      <c r="C33" s="209">
        <f>VLOOKUP(A33,Revenue!$A$2:$C$47,3,0)</f>
        <v>136225390.68992713</v>
      </c>
      <c r="D33" s="310">
        <f>VLOOKUP(A33,'6.MHAC Modeling Results'!$A$4:$K$49,6,FALSE)</f>
        <v>-1.4999999999999987E-2</v>
      </c>
      <c r="E33" s="260">
        <f>VLOOKUP(A33,'6.MHAC Modeling Results'!$A$4:$K$49,10,FALSE)</f>
        <v>-2.758620689655167E-3</v>
      </c>
      <c r="F33" s="310">
        <f>VLOOKUP(A33,'4.QBR Modeling Results'!$A$3:$I$45,8,FALSE)</f>
        <v>4.3113219628069938E-3</v>
      </c>
      <c r="G33" s="310">
        <f>VLOOKUP(A33,'2.RRIP Modeling Results'!$A$3:$AD$48,24,FALSE)</f>
        <v>0.01</v>
      </c>
      <c r="H33" s="310"/>
      <c r="I33" s="310">
        <f t="shared" si="0"/>
        <v>-6.8867803719299334E-4</v>
      </c>
      <c r="J33" s="311">
        <f t="shared" si="5"/>
        <v>-93815.43467618768</v>
      </c>
      <c r="K33" s="311"/>
      <c r="L33" s="310">
        <f t="shared" si="1"/>
        <v>1.1552701273151826E-2</v>
      </c>
      <c r="M33" s="311">
        <f t="shared" si="2"/>
        <v>1573771.2444591261</v>
      </c>
      <c r="N33" s="310">
        <f>IF(I33&lt;0, IF(I33&lt;'7Aggregate Summary'!$B$4,'7Aggregate Summary'!$B$4,'8.Consolidated'!I40),I33)</f>
        <v>7.0920019487463164E-3</v>
      </c>
      <c r="O33" s="311">
        <f t="shared" si="3"/>
        <v>966110.73624169151</v>
      </c>
      <c r="P33" s="310">
        <f>IF(L33&lt;0, IF(L33&lt;'7Aggregate Summary'!$B$4,'7Aggregate Summary'!$B$4,'8.Consolidated'!L40),L33)</f>
        <v>1.1552701273151826E-2</v>
      </c>
      <c r="Q33" s="311">
        <f t="shared" si="4"/>
        <v>-375794.18121359136</v>
      </c>
      <c r="R33" s="311"/>
    </row>
    <row r="34" spans="1:18" ht="15.6">
      <c r="A34" s="196">
        <v>210023</v>
      </c>
      <c r="B34" s="332" t="s">
        <v>70</v>
      </c>
      <c r="C34" s="209">
        <f>VLOOKUP(A34,Revenue!$A$2:$C$47,3,0)</f>
        <v>310117074.81392145</v>
      </c>
      <c r="D34" s="310">
        <f>VLOOKUP(A34,'6.MHAC Modeling Results'!$A$4:$K$49,6,FALSE)</f>
        <v>-1.6764705882352932E-2</v>
      </c>
      <c r="E34" s="260">
        <f>VLOOKUP(A34,'6.MHAC Modeling Results'!$A$4:$K$49,10,FALSE)</f>
        <v>-3.4482758620689611E-3</v>
      </c>
      <c r="F34" s="310">
        <f>VLOOKUP(A34,'4.QBR Modeling Results'!$A$3:$I$45,8,FALSE)</f>
        <v>7.0141071137640384E-3</v>
      </c>
      <c r="G34" s="310">
        <f>VLOOKUP(A34,'2.RRIP Modeling Results'!$A$3:$AD$48,24,FALSE)</f>
        <v>0.01</v>
      </c>
      <c r="H34" s="310"/>
      <c r="I34" s="310">
        <f t="shared" si="0"/>
        <v>2.4940123141110708E-4</v>
      </c>
      <c r="J34" s="311">
        <f t="shared" si="5"/>
        <v>77343.580340202432</v>
      </c>
      <c r="K34" s="311"/>
      <c r="L34" s="310">
        <f t="shared" si="1"/>
        <v>1.3565831251695078E-2</v>
      </c>
      <c r="M34" s="311">
        <f t="shared" si="2"/>
        <v>4206995.9051949559</v>
      </c>
      <c r="N34" s="310">
        <f>IF(I34&lt;0, IF(I34&lt;'7Aggregate Summary'!$B$4,'7Aggregate Summary'!$B$4,'8.Consolidated'!I21),I34)</f>
        <v>2.4940123141110708E-4</v>
      </c>
      <c r="O34" s="311">
        <f t="shared" si="3"/>
        <v>77343.580340202432</v>
      </c>
      <c r="P34" s="310">
        <f>IF(L34&lt;0, IF(L34&lt;'7Aggregate Summary'!$B$4,'7Aggregate Summary'!$B$4,'8.Consolidated'!L21),L34)</f>
        <v>1.3565831251695078E-2</v>
      </c>
      <c r="Q34" s="311">
        <f t="shared" si="4"/>
        <v>-1069369.2234962794</v>
      </c>
      <c r="R34" s="311"/>
    </row>
    <row r="35" spans="1:18" ht="15.6">
      <c r="A35" s="196">
        <v>210013</v>
      </c>
      <c r="B35" s="332" t="s">
        <v>63</v>
      </c>
      <c r="C35" s="209">
        <f>VLOOKUP(A35,Revenue!$A$2:$C$47,3,0)</f>
        <v>78212787.330636472</v>
      </c>
      <c r="D35" s="310">
        <f>VLOOKUP(A35,'6.MHAC Modeling Results'!$A$4:$K$49,6,FALSE)</f>
        <v>0</v>
      </c>
      <c r="E35" s="260">
        <f>VLOOKUP(A35,'6.MHAC Modeling Results'!$A$4:$K$49,10,FALSE)</f>
        <v>3.6842105263158098E-3</v>
      </c>
      <c r="F35" s="310">
        <f>VLOOKUP(A35,'4.QBR Modeling Results'!$A$3:$I$45,8,FALSE)</f>
        <v>-9.1611631835692743E-3</v>
      </c>
      <c r="G35" s="310">
        <f>VLOOKUP(A35,'2.RRIP Modeling Results'!$A$3:$AD$48,24,FALSE)</f>
        <v>0.01</v>
      </c>
      <c r="H35" s="310"/>
      <c r="I35" s="310">
        <f t="shared" si="0"/>
        <v>8.388368164307259E-4</v>
      </c>
      <c r="J35" s="311">
        <f t="shared" si="5"/>
        <v>65607.765528604505</v>
      </c>
      <c r="K35" s="311"/>
      <c r="L35" s="310">
        <f t="shared" si="1"/>
        <v>4.5230473427465357E-3</v>
      </c>
      <c r="M35" s="311">
        <f t="shared" si="2"/>
        <v>353760.1399046352</v>
      </c>
      <c r="N35" s="310">
        <f>IF(I35&lt;0, IF(I35&lt;'7Aggregate Summary'!$B$4,'7Aggregate Summary'!$B$4,'8.Consolidated'!I14),I35)</f>
        <v>8.388368164307259E-4</v>
      </c>
      <c r="O35" s="311">
        <f t="shared" si="3"/>
        <v>65607.765528604505</v>
      </c>
      <c r="P35" s="310">
        <f>IF(L35&lt;0, IF(L35&lt;'7Aggregate Summary'!$B$4,'7Aggregate Summary'!$B$4,'8.Consolidated'!L14),L35)</f>
        <v>4.5230473427465357E-3</v>
      </c>
      <c r="Q35" s="311">
        <f t="shared" si="4"/>
        <v>288152.3743760307</v>
      </c>
      <c r="R35" s="311"/>
    </row>
    <row r="36" spans="1:18" ht="15.6">
      <c r="A36" s="196">
        <v>210061</v>
      </c>
      <c r="B36" s="332" t="s">
        <v>95</v>
      </c>
      <c r="C36" s="209">
        <f>VLOOKUP(A36,Revenue!$A$2:$C$47,3,0)</f>
        <v>38640762.060988352</v>
      </c>
      <c r="D36" s="310">
        <f>VLOOKUP(A36,'6.MHAC Modeling Results'!$A$4:$K$49,6,FALSE)</f>
        <v>0</v>
      </c>
      <c r="E36" s="260">
        <f>VLOOKUP(A36,'6.MHAC Modeling Results'!$A$4:$K$49,10,FALSE)</f>
        <v>5.2631578947370285E-4</v>
      </c>
      <c r="F36" s="310">
        <f>VLOOKUP(A36,'4.QBR Modeling Results'!$A$3:$I$45,8,FALSE)</f>
        <v>2.1851242728041127E-4</v>
      </c>
      <c r="G36" s="310">
        <f>VLOOKUP(A36,'2.RRIP Modeling Results'!$A$3:$AD$48,24,FALSE)</f>
        <v>7.3556302649073479E-4</v>
      </c>
      <c r="H36" s="310"/>
      <c r="I36" s="310">
        <f t="shared" si="0"/>
        <v>9.5407545377114607E-4</v>
      </c>
      <c r="J36" s="311">
        <f t="shared" si="5"/>
        <v>36866.202597400348</v>
      </c>
      <c r="K36" s="311"/>
      <c r="L36" s="310">
        <f t="shared" si="1"/>
        <v>1.4803912432448489E-3</v>
      </c>
      <c r="M36" s="311">
        <f t="shared" si="2"/>
        <v>57203.445787394936</v>
      </c>
      <c r="N36" s="310">
        <f>IF(I36&lt;0, IF(I36&lt;'7Aggregate Summary'!$B$4,'7Aggregate Summary'!$B$4,'8.Consolidated'!I46),I36)</f>
        <v>9.5407545377114607E-4</v>
      </c>
      <c r="O36" s="311">
        <f t="shared" si="3"/>
        <v>36866.202597400348</v>
      </c>
      <c r="P36" s="310">
        <f>IF(L36&lt;0, IF(L36&lt;'7Aggregate Summary'!$B$4,'7Aggregate Summary'!$B$4,'8.Consolidated'!L46),L36)</f>
        <v>1.4803912432448489E-3</v>
      </c>
      <c r="Q36" s="311">
        <f t="shared" si="4"/>
        <v>20337.243189994588</v>
      </c>
      <c r="R36" s="311"/>
    </row>
    <row r="37" spans="1:18" ht="15.6">
      <c r="A37" s="196">
        <v>210006</v>
      </c>
      <c r="B37" s="332" t="s">
        <v>57</v>
      </c>
      <c r="C37" s="209">
        <f>VLOOKUP(A37,Revenue!$A$2:$C$47,3,0)</f>
        <v>47089618.293410309</v>
      </c>
      <c r="D37" s="310">
        <f>VLOOKUP(A37,'6.MHAC Modeling Results'!$A$4:$K$49,6,FALSE)</f>
        <v>-1.7647058823529148E-3</v>
      </c>
      <c r="E37" s="260">
        <f>VLOOKUP(A37,'6.MHAC Modeling Results'!$A$4:$K$49,10,FALSE)</f>
        <v>0</v>
      </c>
      <c r="F37" s="310">
        <f>VLOOKUP(A37,'4.QBR Modeling Results'!$A$3:$I$45,8,FALSE)</f>
        <v>7.6319277621374748E-3</v>
      </c>
      <c r="G37" s="310">
        <f>VLOOKUP(A37,'2.RRIP Modeling Results'!$A$3:$AD$48,24,FALSE)</f>
        <v>-3.6577783184287807E-3</v>
      </c>
      <c r="H37" s="310"/>
      <c r="I37" s="310">
        <f t="shared" si="0"/>
        <v>2.2094435613557793E-3</v>
      </c>
      <c r="J37" s="311">
        <f t="shared" si="5"/>
        <v>104041.85394507673</v>
      </c>
      <c r="K37" s="311"/>
      <c r="L37" s="310">
        <f t="shared" si="1"/>
        <v>3.9741494437086945E-3</v>
      </c>
      <c r="M37" s="311">
        <f t="shared" si="2"/>
        <v>187141.18034521135</v>
      </c>
      <c r="N37" s="310">
        <f>IF(I37&lt;0, IF(I37&lt;'7Aggregate Summary'!$B$4,'7Aggregate Summary'!$B$4,'8.Consolidated'!I8),I37)</f>
        <v>2.2094435613557793E-3</v>
      </c>
      <c r="O37" s="311">
        <f t="shared" si="3"/>
        <v>104041.85394507673</v>
      </c>
      <c r="P37" s="310">
        <f>IF(L37&lt;0, IF(L37&lt;'7Aggregate Summary'!$B$4,'7Aggregate Summary'!$B$4,'8.Consolidated'!L8),L37)</f>
        <v>3.9741494437086945E-3</v>
      </c>
      <c r="Q37" s="311">
        <f t="shared" si="4"/>
        <v>0</v>
      </c>
      <c r="R37" s="311"/>
    </row>
    <row r="38" spans="1:18" ht="15.6">
      <c r="A38" s="196">
        <v>210029</v>
      </c>
      <c r="B38" s="332" t="s">
        <v>74</v>
      </c>
      <c r="C38" s="209">
        <f>VLOOKUP(A38,Revenue!$A$2:$C$47,3,0)</f>
        <v>356396901.46731883</v>
      </c>
      <c r="D38" s="310">
        <f>VLOOKUP(A38,'6.MHAC Modeling Results'!$A$4:$K$49,6,FALSE)</f>
        <v>0</v>
      </c>
      <c r="E38" s="260">
        <f>VLOOKUP(A38,'6.MHAC Modeling Results'!$A$4:$K$49,10,FALSE)</f>
        <v>0</v>
      </c>
      <c r="F38" s="310">
        <f>VLOOKUP(A38,'4.QBR Modeling Results'!$A$3:$I$45,8,FALSE)</f>
        <v>-7.309797665053009E-3</v>
      </c>
      <c r="G38" s="310">
        <f>VLOOKUP(A38,'2.RRIP Modeling Results'!$A$3:$AD$48,24,FALSE)</f>
        <v>0.01</v>
      </c>
      <c r="H38" s="310"/>
      <c r="I38" s="310">
        <f t="shared" si="0"/>
        <v>2.6902023349469912E-3</v>
      </c>
      <c r="J38" s="311">
        <f t="shared" si="5"/>
        <v>958779.7764952539</v>
      </c>
      <c r="K38" s="311"/>
      <c r="L38" s="310">
        <f t="shared" si="1"/>
        <v>2.6902023349469912E-3</v>
      </c>
      <c r="M38" s="311">
        <f t="shared" si="2"/>
        <v>958779.7764952539</v>
      </c>
      <c r="N38" s="310">
        <f>IF(I38&lt;0, IF(I38&lt;'7Aggregate Summary'!$B$4,'7Aggregate Summary'!$B$4,'8.Consolidated'!I25),I38)</f>
        <v>2.6902023349469912E-3</v>
      </c>
      <c r="O38" s="311">
        <f t="shared" si="3"/>
        <v>958779.7764952539</v>
      </c>
      <c r="P38" s="310">
        <f>IF(L38&lt;0, IF(L38&lt;'7Aggregate Summary'!$B$4,'7Aggregate Summary'!$B$4,'8.Consolidated'!L25),L38)</f>
        <v>2.6902023349469912E-3</v>
      </c>
      <c r="Q38" s="311">
        <f t="shared" si="4"/>
        <v>0</v>
      </c>
      <c r="R38" s="311"/>
    </row>
    <row r="39" spans="1:18" ht="15.6">
      <c r="A39" s="196">
        <v>210038</v>
      </c>
      <c r="B39" s="332" t="s">
        <v>81</v>
      </c>
      <c r="C39" s="209">
        <f>VLOOKUP(A39,Revenue!$A$2:$C$47,3,0)</f>
        <v>133787810.98689511</v>
      </c>
      <c r="D39" s="310">
        <f>VLOOKUP(A39,'6.MHAC Modeling Results'!$A$4:$K$49,6,FALSE)</f>
        <v>-4.4117647058823269E-3</v>
      </c>
      <c r="E39" s="260">
        <f>VLOOKUP(A39,'6.MHAC Modeling Results'!$A$4:$K$49,10,FALSE)</f>
        <v>0</v>
      </c>
      <c r="F39" s="310">
        <f>VLOOKUP(A39,'4.QBR Modeling Results'!$A$3:$I$45,8,FALSE)</f>
        <v>1.0937823705663412E-3</v>
      </c>
      <c r="G39" s="310">
        <f>VLOOKUP(A39,'2.RRIP Modeling Results'!$A$3:$AD$48,24,FALSE)</f>
        <v>0.01</v>
      </c>
      <c r="H39" s="310"/>
      <c r="I39" s="310">
        <f t="shared" si="0"/>
        <v>6.6820176646840146E-3</v>
      </c>
      <c r="J39" s="311">
        <f t="shared" si="5"/>
        <v>893972.51633383927</v>
      </c>
      <c r="K39" s="311"/>
      <c r="L39" s="310">
        <f t="shared" si="1"/>
        <v>1.1093782370566341E-2</v>
      </c>
      <c r="M39" s="311">
        <f t="shared" si="2"/>
        <v>1484212.858923079</v>
      </c>
      <c r="N39" s="310">
        <f>IF(I39&lt;0, IF(I39&lt;'7Aggregate Summary'!$B$4,'7Aggregate Summary'!$B$4,'8.Consolidated'!I32),I39)</f>
        <v>6.6820176646840146E-3</v>
      </c>
      <c r="O39" s="311">
        <f t="shared" si="3"/>
        <v>893972.51633383927</v>
      </c>
      <c r="P39" s="310">
        <f>IF(L39&lt;0, IF(L39&lt;'7Aggregate Summary'!$B$4,'7Aggregate Summary'!$B$4,'8.Consolidated'!L32),L39)</f>
        <v>1.1093782370566341E-2</v>
      </c>
      <c r="Q39" s="311">
        <f t="shared" si="4"/>
        <v>0</v>
      </c>
      <c r="R39" s="311"/>
    </row>
    <row r="40" spans="1:18" ht="15.6">
      <c r="A40" s="196">
        <v>210008</v>
      </c>
      <c r="B40" s="332" t="s">
        <v>58</v>
      </c>
      <c r="C40" s="209">
        <f>VLOOKUP(A40,Revenue!$A$2:$C$47,3,0)</f>
        <v>233163593.66479388</v>
      </c>
      <c r="D40" s="310">
        <f>VLOOKUP(A40,'6.MHAC Modeling Results'!$A$4:$K$49,6,FALSE)</f>
        <v>-9.7058823529411579E-3</v>
      </c>
      <c r="E40" s="260">
        <f>VLOOKUP(A40,'6.MHAC Modeling Results'!$A$4:$K$49,10,FALSE)</f>
        <v>-6.8965517241378546E-4</v>
      </c>
      <c r="F40" s="310">
        <f>VLOOKUP(A40,'4.QBR Modeling Results'!$A$3:$I$45,8,FALSE)</f>
        <v>6.7978843016874742E-3</v>
      </c>
      <c r="G40" s="310">
        <f>VLOOKUP(A40,'2.RRIP Modeling Results'!$A$3:$AD$48,24,FALSE)</f>
        <v>0.01</v>
      </c>
      <c r="H40" s="310"/>
      <c r="I40" s="310">
        <f t="shared" si="0"/>
        <v>7.0920019487463164E-3</v>
      </c>
      <c r="J40" s="311">
        <f t="shared" si="5"/>
        <v>1653596.6606474125</v>
      </c>
      <c r="K40" s="311"/>
      <c r="L40" s="310">
        <f t="shared" si="1"/>
        <v>1.6108229129273691E-2</v>
      </c>
      <c r="M40" s="311">
        <f t="shared" si="2"/>
        <v>3755852.5913573671</v>
      </c>
      <c r="N40" s="310">
        <f>IF(I40&lt;0, IF(I40&lt;'7Aggregate Summary'!$B$4,'7Aggregate Summary'!$B$4,'8.Consolidated'!I9),I40)</f>
        <v>7.0920019487463164E-3</v>
      </c>
      <c r="O40" s="311">
        <f t="shared" si="3"/>
        <v>1653596.6606474125</v>
      </c>
      <c r="P40" s="310">
        <f>IF(L40&lt;0, IF(L40&lt;'7Aggregate Summary'!$B$4,'7Aggregate Summary'!$B$4,'8.Consolidated'!L9),L40)</f>
        <v>1.6108229129273691E-2</v>
      </c>
      <c r="Q40" s="311">
        <f t="shared" si="4"/>
        <v>-160802.47838951123</v>
      </c>
      <c r="R40" s="311"/>
    </row>
    <row r="41" spans="1:18" ht="15.6">
      <c r="A41" s="196">
        <v>210027</v>
      </c>
      <c r="B41" s="332" t="s">
        <v>72</v>
      </c>
      <c r="C41" s="209">
        <f>VLOOKUP(A41,Revenue!$A$2:$C$47,3,0)</f>
        <v>184484265.97300443</v>
      </c>
      <c r="D41" s="310">
        <f>VLOOKUP(A41,'6.MHAC Modeling Results'!$A$4:$K$49,6,FALSE)</f>
        <v>-8.8235294117646884E-3</v>
      </c>
      <c r="E41" s="260">
        <f>VLOOKUP(A41,'6.MHAC Modeling Results'!$A$4:$K$49,10,FALSE)</f>
        <v>-6.8965517241378546E-4</v>
      </c>
      <c r="F41" s="310">
        <f>VLOOKUP(A41,'4.QBR Modeling Results'!$A$3:$I$45,8,FALSE)</f>
        <v>6.0873761412038874E-3</v>
      </c>
      <c r="G41" s="310">
        <f>VLOOKUP(A41,'2.RRIP Modeling Results'!$A$3:$AD$48,24,FALSE)</f>
        <v>0.01</v>
      </c>
      <c r="H41" s="310"/>
      <c r="I41" s="310">
        <f t="shared" si="0"/>
        <v>7.2638467294391992E-3</v>
      </c>
      <c r="J41" s="311">
        <f t="shared" si="5"/>
        <v>1340065.4320209995</v>
      </c>
      <c r="K41" s="311"/>
      <c r="L41" s="310">
        <f t="shared" si="1"/>
        <v>1.5397720968790102E-2</v>
      </c>
      <c r="M41" s="311">
        <f t="shared" si="2"/>
        <v>2840637.2505843807</v>
      </c>
      <c r="N41" s="310">
        <f>IF(I41&lt;0, IF(I41&lt;'7Aggregate Summary'!$B$4,'7Aggregate Summary'!$B$4,'8.Consolidated'!I23),I41)</f>
        <v>7.2638467294391992E-3</v>
      </c>
      <c r="O41" s="311">
        <f t="shared" si="3"/>
        <v>1340065.4320209995</v>
      </c>
      <c r="P41" s="310">
        <f>IF(L41&lt;0, IF(L41&lt;'7Aggregate Summary'!$B$4,'7Aggregate Summary'!$B$4,'8.Consolidated'!L23),L41)</f>
        <v>1.5397720968790102E-2</v>
      </c>
      <c r="Q41" s="311">
        <f t="shared" si="4"/>
        <v>-127230.52825724303</v>
      </c>
      <c r="R41" s="311"/>
    </row>
    <row r="42" spans="1:18" ht="15.6">
      <c r="A42" s="196">
        <v>210045</v>
      </c>
      <c r="B42" s="332" t="s">
        <v>86</v>
      </c>
      <c r="C42" s="209">
        <f>VLOOKUP(A42,Revenue!$A$2:$C$47,3,0)</f>
        <v>3734618.2392469109</v>
      </c>
      <c r="D42" s="310">
        <f>VLOOKUP(A42,'6.MHAC Modeling Results'!$A$4:$K$49,6,FALSE)</f>
        <v>0</v>
      </c>
      <c r="E42" s="260">
        <f>VLOOKUP(A42,'6.MHAC Modeling Results'!$A$4:$K$49,10,FALSE)</f>
        <v>0.01</v>
      </c>
      <c r="F42" s="334">
        <v>0</v>
      </c>
      <c r="G42" s="310">
        <f>VLOOKUP(A42,'2.RRIP Modeling Results'!$A$3:$AD$48,24,FALSE)</f>
        <v>0.01</v>
      </c>
      <c r="H42" s="310"/>
      <c r="I42" s="310">
        <f t="shared" si="0"/>
        <v>0.01</v>
      </c>
      <c r="J42" s="311">
        <f t="shared" si="5"/>
        <v>37346.182392469113</v>
      </c>
      <c r="K42" s="311"/>
      <c r="L42" s="310">
        <f t="shared" si="1"/>
        <v>0.02</v>
      </c>
      <c r="M42" s="311">
        <f t="shared" si="2"/>
        <v>74692.364784938225</v>
      </c>
      <c r="N42" s="310">
        <f>IF(I42&lt;0, IF(I42&lt;'7Aggregate Summary'!$B$4,'7Aggregate Summary'!$B$4,'8.Consolidated'!I37),I42)</f>
        <v>0.01</v>
      </c>
      <c r="O42" s="311">
        <f t="shared" si="3"/>
        <v>37346.182392469113</v>
      </c>
      <c r="P42" s="310">
        <f>IF(L42&lt;0, IF(L42&lt;'7Aggregate Summary'!$B$4,'7Aggregate Summary'!$B$4,'8.Consolidated'!L37),L42)</f>
        <v>0.02</v>
      </c>
      <c r="Q42" s="311">
        <f t="shared" si="4"/>
        <v>37346.182392469113</v>
      </c>
      <c r="R42" s="311"/>
    </row>
    <row r="43" spans="1:18" ht="15.6">
      <c r="A43" s="196">
        <v>210056</v>
      </c>
      <c r="B43" s="332" t="s">
        <v>91</v>
      </c>
      <c r="C43" s="209">
        <f>VLOOKUP(A43,Revenue!$A$2:$C$47,3,0)</f>
        <v>180861011.49427712</v>
      </c>
      <c r="D43" s="310">
        <f>VLOOKUP(A43,'6.MHAC Modeling Results'!$A$4:$K$49,6,FALSE)</f>
        <v>0</v>
      </c>
      <c r="E43" s="260">
        <f>VLOOKUP(A43,'6.MHAC Modeling Results'!$A$4:$K$49,10,FALSE)</f>
        <v>0</v>
      </c>
      <c r="F43" s="310">
        <f>VLOOKUP(A43,'4.QBR Modeling Results'!$A$3:$I$45,8,FALSE)</f>
        <v>-8.296943450800745E-4</v>
      </c>
      <c r="G43" s="310">
        <f>VLOOKUP(A43,'2.RRIP Modeling Results'!$A$3:$AD$48,24,FALSE)</f>
        <v>1.0964100854858761E-2</v>
      </c>
      <c r="H43" s="310"/>
      <c r="I43" s="310">
        <f t="shared" si="0"/>
        <v>1.0134406509778687E-2</v>
      </c>
      <c r="J43" s="311">
        <f t="shared" si="5"/>
        <v>1832919.0122527599</v>
      </c>
      <c r="K43" s="311"/>
      <c r="L43" s="310">
        <f t="shared" si="1"/>
        <v>1.0134406509778687E-2</v>
      </c>
      <c r="M43" s="311">
        <f t="shared" si="2"/>
        <v>1832919.0122527599</v>
      </c>
      <c r="N43" s="310">
        <f>IF(I43&lt;0, IF(I43&lt;'7Aggregate Summary'!$B$4,'7Aggregate Summary'!$B$4,'8.Consolidated'!I42),I43)</f>
        <v>1.0134406509778687E-2</v>
      </c>
      <c r="O43" s="311">
        <f t="shared" si="3"/>
        <v>1832919.0122527599</v>
      </c>
      <c r="P43" s="310">
        <f>IF(L43&lt;0, IF(L43&lt;'7Aggregate Summary'!$B$4,'7Aggregate Summary'!$B$4,'8.Consolidated'!L42),L43)</f>
        <v>1.0134406509778687E-2</v>
      </c>
      <c r="Q43" s="311">
        <f t="shared" si="4"/>
        <v>0</v>
      </c>
      <c r="R43" s="311"/>
    </row>
    <row r="44" spans="1:18" ht="15.6">
      <c r="A44" s="196">
        <v>210039</v>
      </c>
      <c r="B44" s="332" t="s">
        <v>82</v>
      </c>
      <c r="C44" s="209">
        <f>VLOOKUP(A44,Revenue!$A$2:$C$47,3,0)</f>
        <v>67385286.839919657</v>
      </c>
      <c r="D44" s="310">
        <f>VLOOKUP(A44,'6.MHAC Modeling Results'!$A$4:$K$49,6,FALSE)</f>
        <v>0</v>
      </c>
      <c r="E44" s="260">
        <f>VLOOKUP(A44,'6.MHAC Modeling Results'!$A$4:$K$49,10,FALSE)</f>
        <v>0</v>
      </c>
      <c r="F44" s="310">
        <f>VLOOKUP(A44,'4.QBR Modeling Results'!$A$3:$I$45,8,FALSE)</f>
        <v>2.5609262247765184E-3</v>
      </c>
      <c r="G44" s="310">
        <f>VLOOKUP(A44,'2.RRIP Modeling Results'!$A$3:$AD$48,24,FALSE)</f>
        <v>0.01</v>
      </c>
      <c r="H44" s="310"/>
      <c r="I44" s="310">
        <f t="shared" si="0"/>
        <v>1.2560926224776519E-2</v>
      </c>
      <c r="J44" s="311">
        <f t="shared" si="5"/>
        <v>846421.61663163488</v>
      </c>
      <c r="K44" s="311"/>
      <c r="L44" s="310">
        <f t="shared" si="1"/>
        <v>1.2560926224776519E-2</v>
      </c>
      <c r="M44" s="311">
        <f t="shared" si="2"/>
        <v>846421.61663163488</v>
      </c>
      <c r="N44" s="310">
        <f>IF(I44&lt;0, IF(I44&lt;'7Aggregate Summary'!$B$4,'7Aggregate Summary'!$B$4,'8.Consolidated'!I33),I44)</f>
        <v>1.2560926224776519E-2</v>
      </c>
      <c r="O44" s="311">
        <f t="shared" si="3"/>
        <v>846421.61663163488</v>
      </c>
      <c r="P44" s="310">
        <f>IF(L44&lt;0, IF(L44&lt;'7Aggregate Summary'!$B$4,'7Aggregate Summary'!$B$4,'8.Consolidated'!L33),L44)</f>
        <v>1.2560926224776519E-2</v>
      </c>
      <c r="Q44" s="311">
        <f t="shared" si="4"/>
        <v>0</v>
      </c>
      <c r="R44" s="311"/>
    </row>
    <row r="45" spans="1:18" ht="15.6">
      <c r="A45" s="196">
        <v>210030</v>
      </c>
      <c r="B45" s="332" t="s">
        <v>75</v>
      </c>
      <c r="C45" s="209">
        <f>VLOOKUP(A45,Revenue!$A$2:$C$47,3,0)</f>
        <v>29416674.305924561</v>
      </c>
      <c r="D45" s="310">
        <f>VLOOKUP(A45,'6.MHAC Modeling Results'!$A$4:$K$49,6,FALSE)</f>
        <v>0</v>
      </c>
      <c r="E45" s="260">
        <f>VLOOKUP(A45,'6.MHAC Modeling Results'!$A$4:$K$49,10,FALSE)</f>
        <v>0.01</v>
      </c>
      <c r="F45" s="310">
        <f>VLOOKUP(A45,'4.QBR Modeling Results'!$A$3:$I$45,8,FALSE)</f>
        <v>4.2598609335327683E-3</v>
      </c>
      <c r="G45" s="310">
        <f>VLOOKUP(A45,'2.RRIP Modeling Results'!$A$3:$AD$48,24,FALSE)</f>
        <v>0.01</v>
      </c>
      <c r="H45" s="310"/>
      <c r="I45" s="310">
        <f t="shared" si="0"/>
        <v>1.4259860933532768E-2</v>
      </c>
      <c r="J45" s="311">
        <f t="shared" si="5"/>
        <v>419477.6847295108</v>
      </c>
      <c r="K45" s="311"/>
      <c r="L45" s="310">
        <f t="shared" si="1"/>
        <v>2.4259860933532766E-2</v>
      </c>
      <c r="M45" s="311">
        <f t="shared" si="2"/>
        <v>713644.42778875632</v>
      </c>
      <c r="N45" s="310">
        <f>IF(I45&lt;0, IF(I45&lt;'7Aggregate Summary'!$B$4,'7Aggregate Summary'!$B$4,'8.Consolidated'!I26),I45)</f>
        <v>1.4259860933532768E-2</v>
      </c>
      <c r="O45" s="311">
        <f t="shared" si="3"/>
        <v>419477.6847295108</v>
      </c>
      <c r="P45" s="310">
        <f>IF(L45&lt;0, IF(L45&lt;'7Aggregate Summary'!$B$4,'7Aggregate Summary'!$B$4,'8.Consolidated'!L26),L45)</f>
        <v>2.4259860933532766E-2</v>
      </c>
      <c r="Q45" s="311">
        <f t="shared" si="4"/>
        <v>294166.74305924564</v>
      </c>
      <c r="R45" s="311"/>
    </row>
    <row r="46" spans="1:18" ht="15.6">
      <c r="A46" s="196">
        <v>210058</v>
      </c>
      <c r="B46" s="332" t="s">
        <v>93</v>
      </c>
      <c r="C46" s="209">
        <f>VLOOKUP(A46,Revenue!$A$2:$C$47,3,0)</f>
        <v>69104845.787293941</v>
      </c>
      <c r="D46" s="310">
        <f>VLOOKUP(A46,'6.MHAC Modeling Results'!$A$4:$K$49,6,FALSE)</f>
        <v>-1.7647058823529148E-3</v>
      </c>
      <c r="E46" s="260">
        <f>VLOOKUP(A46,'6.MHAC Modeling Results'!$A$4:$K$49,10,FALSE)</f>
        <v>0</v>
      </c>
      <c r="F46" s="334">
        <v>0</v>
      </c>
      <c r="G46" s="310">
        <f>VLOOKUP(A46,'2.RRIP Modeling Results'!$A$3:$AD$48,24,FALSE)</f>
        <v>1.0958554278573705E-2</v>
      </c>
      <c r="H46" s="310"/>
      <c r="I46" s="310">
        <f t="shared" si="0"/>
        <v>9.1938483962207898E-3</v>
      </c>
      <c r="J46" s="311">
        <f>I46*C46</f>
        <v>635339.47561259742</v>
      </c>
      <c r="K46" s="311"/>
      <c r="L46" s="310">
        <f t="shared" si="1"/>
        <v>1.0958554278573705E-2</v>
      </c>
      <c r="M46" s="311">
        <f t="shared" si="2"/>
        <v>757289.20347252605</v>
      </c>
      <c r="N46" s="310">
        <f>IF(I46&lt;0, IF(I46&lt;'7Aggregate Summary'!$B$4,'7Aggregate Summary'!$B$4,'8.Consolidated'!I44),I46)</f>
        <v>9.1938483962207898E-3</v>
      </c>
      <c r="O46" s="311">
        <f t="shared" si="3"/>
        <v>635339.47561259742</v>
      </c>
      <c r="P46" s="310">
        <f>IF(L46&lt;0, IF(L46&lt;'7Aggregate Summary'!$B$4,'7Aggregate Summary'!$B$4,'8.Consolidated'!L44),L46)</f>
        <v>1.0958554278573705E-2</v>
      </c>
      <c r="Q46" s="311">
        <f t="shared" si="4"/>
        <v>0</v>
      </c>
      <c r="R46" s="311"/>
    </row>
    <row r="47" spans="1:18" ht="15.6">
      <c r="A47" s="196">
        <v>210017</v>
      </c>
      <c r="B47" s="332" t="s">
        <v>66</v>
      </c>
      <c r="C47" s="209">
        <f>VLOOKUP(A47,Revenue!$A$2:$C$47,3,0)</f>
        <v>18724073.644907132</v>
      </c>
      <c r="D47" s="310">
        <f>VLOOKUP(A47,'6.MHAC Modeling Results'!$A$4:$K$49,6,FALSE)</f>
        <v>0</v>
      </c>
      <c r="E47" s="260">
        <f>VLOOKUP(A47,'6.MHAC Modeling Results'!$A$4:$K$49,10,FALSE)</f>
        <v>0</v>
      </c>
      <c r="F47" s="310">
        <f>VLOOKUP(A47,'4.QBR Modeling Results'!$A$3:$I$45,8,FALSE)</f>
        <v>6.8597240259413734E-3</v>
      </c>
      <c r="G47" s="310">
        <f>VLOOKUP(A47,'2.RRIP Modeling Results'!$A$3:$AD$48,24,FALSE)</f>
        <v>1.1107779333235304E-2</v>
      </c>
      <c r="H47" s="310"/>
      <c r="I47" s="310">
        <f t="shared" si="0"/>
        <v>1.7967503359176677E-2</v>
      </c>
      <c r="J47" s="311">
        <f t="shared" si="5"/>
        <v>336424.85611234041</v>
      </c>
      <c r="K47" s="311"/>
      <c r="L47" s="310">
        <f t="shared" si="1"/>
        <v>1.7967503359176677E-2</v>
      </c>
      <c r="M47" s="311">
        <f t="shared" si="2"/>
        <v>336424.85611234041</v>
      </c>
      <c r="N47" s="310">
        <f>IF(I47&lt;0, IF(I47&lt;'7Aggregate Summary'!$B$4,'7Aggregate Summary'!$B$4,'8.Consolidated'!I17),I47)</f>
        <v>1.7967503359176677E-2</v>
      </c>
      <c r="O47" s="311">
        <f t="shared" si="3"/>
        <v>336424.85611234041</v>
      </c>
      <c r="P47" s="310">
        <f>IF(L47&lt;0, IF(L47&lt;'7Aggregate Summary'!$B$4,'7Aggregate Summary'!$B$4,'8.Consolidated'!L17),L47)</f>
        <v>1.7967503359176677E-2</v>
      </c>
      <c r="Q47" s="311">
        <f t="shared" si="4"/>
        <v>0</v>
      </c>
      <c r="R47" s="311"/>
    </row>
    <row r="48" spans="1:18" ht="15.6">
      <c r="A48" s="196">
        <v>210028</v>
      </c>
      <c r="B48" s="332" t="s">
        <v>73</v>
      </c>
      <c r="C48" s="209">
        <f>VLOOKUP(A48,Revenue!$A$2:$C$47,3,0)</f>
        <v>69520305.288439929</v>
      </c>
      <c r="D48" s="310">
        <f>VLOOKUP(A48,'6.MHAC Modeling Results'!$A$4:$K$49,6,FALSE)</f>
        <v>0</v>
      </c>
      <c r="E48" s="260">
        <f>VLOOKUP(A48,'6.MHAC Modeling Results'!$A$4:$K$49,10,FALSE)</f>
        <v>1.7347234759768071E-17</v>
      </c>
      <c r="F48" s="310">
        <f>VLOOKUP(A48,'4.QBR Modeling Results'!$A$3:$I$45,8,FALSE)</f>
        <v>0.01</v>
      </c>
      <c r="G48" s="310">
        <f>VLOOKUP(A48,'2.RRIP Modeling Results'!$A$3:$AD$48,24,FALSE)</f>
        <v>0.01</v>
      </c>
      <c r="H48" s="310"/>
      <c r="I48" s="310">
        <f t="shared" si="0"/>
        <v>0.02</v>
      </c>
      <c r="J48" s="311">
        <f t="shared" si="5"/>
        <v>1390406.1057687986</v>
      </c>
      <c r="K48" s="311"/>
      <c r="L48" s="310">
        <f t="shared" si="1"/>
        <v>2.0000000000000018E-2</v>
      </c>
      <c r="M48" s="311">
        <f t="shared" si="2"/>
        <v>1390406.1057687998</v>
      </c>
      <c r="N48" s="310">
        <f>IF(I48&lt;0, IF(I48&lt;'7Aggregate Summary'!$B$4,'7Aggregate Summary'!$B$4,'8.Consolidated'!I24),I48)</f>
        <v>0.02</v>
      </c>
      <c r="O48" s="311">
        <f t="shared" si="3"/>
        <v>1390406.1057687986</v>
      </c>
      <c r="P48" s="310">
        <f>IF(L48&lt;0, IF(L48&lt;'7Aggregate Summary'!$B$4,'7Aggregate Summary'!$B$4,'8.Consolidated'!L24),L48)</f>
        <v>2.0000000000000018E-2</v>
      </c>
      <c r="Q48" s="311">
        <f t="shared" si="4"/>
        <v>1.2059850564093132E-9</v>
      </c>
      <c r="R48" s="311"/>
    </row>
    <row r="49" spans="1:18" ht="15.6">
      <c r="A49" s="237" t="s">
        <v>175</v>
      </c>
      <c r="B49" s="333"/>
      <c r="C49" s="225">
        <f>SUM(C3:C48)</f>
        <v>8961031432.2934799</v>
      </c>
    </row>
    <row r="50" spans="1:18" ht="28.8">
      <c r="G50" s="305" t="s">
        <v>227</v>
      </c>
      <c r="J50" s="293">
        <f>SUM(J3:J48)</f>
        <v>-118076949.91818632</v>
      </c>
      <c r="K50" s="293"/>
      <c r="M50" s="293">
        <f>SUM(M3:M48)</f>
        <v>-19534065.996576704</v>
      </c>
      <c r="O50" s="293">
        <f>SUM(O3:O48)</f>
        <v>-127507685.57282804</v>
      </c>
      <c r="Q50" s="293">
        <f>SUM(Q3:Q48)</f>
        <v>-24534053.465314094</v>
      </c>
      <c r="R50" s="293"/>
    </row>
    <row r="51" spans="1:18" s="276" customFormat="1" ht="28.8">
      <c r="B51" s="330"/>
      <c r="G51" s="305" t="s">
        <v>237</v>
      </c>
      <c r="J51" s="304">
        <f>MIN(I3:I48)</f>
        <v>-5.3768094831599014E-2</v>
      </c>
      <c r="K51" s="304"/>
      <c r="M51" s="304">
        <f>MIN(L3:L48)</f>
        <v>-3.4731583675412403E-2</v>
      </c>
      <c r="O51" s="304">
        <f>MIN(N3:N48)</f>
        <v>-4.6687933944196583E-2</v>
      </c>
      <c r="Q51" s="304">
        <f>MIN(P3:P48)</f>
        <v>-3.4731583675412403E-2</v>
      </c>
      <c r="R51" s="293"/>
    </row>
    <row r="52" spans="1:18" ht="28.8">
      <c r="G52" s="305" t="s">
        <v>228</v>
      </c>
      <c r="J52" s="304">
        <f>J50/$C$49</f>
        <v>-1.3176714177417609E-2</v>
      </c>
      <c r="K52" s="304"/>
      <c r="M52" s="304">
        <f>M50/$C$49</f>
        <v>-2.1798903557218269E-3</v>
      </c>
      <c r="O52" s="304">
        <f>O50/$C$49</f>
        <v>-1.4229130489746961E-2</v>
      </c>
      <c r="Q52" s="304">
        <f>Q50/$C$49</f>
        <v>-2.7378604405848923E-3</v>
      </c>
    </row>
    <row r="53" spans="1:18" ht="28.8">
      <c r="G53" s="305" t="s">
        <v>229</v>
      </c>
      <c r="J53" s="73">
        <f>J52*60%</f>
        <v>-7.9060285064505645E-3</v>
      </c>
      <c r="K53" s="73"/>
      <c r="M53" s="73">
        <f>M52*60%</f>
        <v>-1.307934213433096E-3</v>
      </c>
      <c r="O53" s="73">
        <f>O52*60%</f>
        <v>-8.5374782938481761E-3</v>
      </c>
      <c r="Q53" s="73">
        <f>Q52*60%</f>
        <v>-1.6427162643509353E-3</v>
      </c>
    </row>
  </sheetData>
  <sortState ref="A3:G52">
    <sortCondition ref="A3"/>
  </sortState>
  <pageMargins left="0.7" right="0.7" top="0.75" bottom="0.75" header="0.3" footer="0.3"/>
  <pageSetup scale="46" orientation="portrait" r:id="rId1"/>
  <headerFooter>
    <oddFooter>&amp;CHSCRC Work Group Meeting
Feb 2, 2015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workbookViewId="0"/>
  </sheetViews>
  <sheetFormatPr defaultRowHeight="14.4"/>
  <cols>
    <col min="2" max="2" width="55.109375" customWidth="1"/>
    <col min="3" max="3" width="21.6640625" style="11" customWidth="1"/>
    <col min="4" max="4" width="14.109375" customWidth="1"/>
    <col min="5" max="5" width="8.109375" style="11" customWidth="1"/>
    <col min="6" max="6" width="29.109375" customWidth="1"/>
    <col min="7" max="7" width="10.33203125" style="11" customWidth="1"/>
    <col min="8" max="8" width="18.88671875" customWidth="1"/>
    <col min="9" max="9" width="10.44140625" style="11" customWidth="1"/>
    <col min="10" max="10" width="19.33203125" customWidth="1"/>
    <col min="11" max="11" width="13.109375" customWidth="1"/>
    <col min="18" max="19" width="12.6640625" bestFit="1" customWidth="1"/>
  </cols>
  <sheetData>
    <row r="1" spans="1:20" ht="78" customHeight="1" thickBot="1">
      <c r="A1" s="30" t="s">
        <v>0</v>
      </c>
      <c r="B1" s="29"/>
      <c r="C1" s="28" t="s">
        <v>99</v>
      </c>
      <c r="D1" s="28" t="s">
        <v>103</v>
      </c>
      <c r="E1" s="28" t="s">
        <v>142</v>
      </c>
      <c r="F1" s="28" t="s">
        <v>132</v>
      </c>
      <c r="G1" s="49" t="s">
        <v>143</v>
      </c>
      <c r="H1" s="49" t="s">
        <v>105</v>
      </c>
      <c r="I1" s="72" t="s">
        <v>144</v>
      </c>
      <c r="J1" s="51" t="s">
        <v>106</v>
      </c>
      <c r="K1" s="51" t="s">
        <v>141</v>
      </c>
      <c r="M1" s="72" t="s">
        <v>139</v>
      </c>
      <c r="N1" s="72" t="s">
        <v>136</v>
      </c>
      <c r="O1" s="72" t="s">
        <v>135</v>
      </c>
      <c r="P1" s="72" t="s">
        <v>138</v>
      </c>
      <c r="Q1" s="72" t="s">
        <v>140</v>
      </c>
      <c r="R1" s="72" t="s">
        <v>136</v>
      </c>
      <c r="S1" s="72" t="s">
        <v>135</v>
      </c>
      <c r="T1" s="72" t="s">
        <v>138</v>
      </c>
    </row>
    <row r="2" spans="1:20" ht="18">
      <c r="A2" s="56">
        <v>210062</v>
      </c>
      <c r="B2" s="1" t="s">
        <v>2</v>
      </c>
      <c r="C2" s="6">
        <f>VLOOKUP(A2,Revenue!$A$2:$C$47,3,0)</f>
        <v>163208213.46317798</v>
      </c>
      <c r="D2" s="6" t="str">
        <f>IFERROR(VLOOKUP(A2,#REF!,10,0),"")</f>
        <v/>
      </c>
      <c r="E2" s="75" t="str">
        <f>IFERROR(VLOOKUP(A2,#REF!,14,0),"")</f>
        <v/>
      </c>
      <c r="F2" s="7">
        <f>VLOOKUP(A2,'6.MHAC Modeling Results'!$A$4:$K$49,8,0)</f>
        <v>-1415465.9835754922</v>
      </c>
      <c r="G2" s="76">
        <f>F2/C2</f>
        <v>-8.6727619495377949E-3</v>
      </c>
      <c r="H2" s="50" t="e">
        <f>VLOOKUP(A2,#REF!,20,0)</f>
        <v>#REF!</v>
      </c>
      <c r="I2" s="76" t="e">
        <f>VLOOKUP(A2,#REF!,19,0)</f>
        <v>#REF!</v>
      </c>
      <c r="J2" s="52" t="e">
        <f t="shared" ref="J2:J47" si="0">SUM(D2:H2)</f>
        <v>#REF!</v>
      </c>
      <c r="K2" s="53" t="e">
        <f t="shared" ref="K2:K48" si="1">J2/C2</f>
        <v>#REF!</v>
      </c>
      <c r="N2" s="73" t="str">
        <f>IFERROR(ABS(E2),"")</f>
        <v/>
      </c>
      <c r="O2" s="73">
        <f>ABS(G2)</f>
        <v>8.6727619495377949E-3</v>
      </c>
      <c r="P2" s="73" t="e">
        <f>ABS(I2)</f>
        <v>#REF!</v>
      </c>
      <c r="R2" s="5" t="str">
        <f>IFERROR(ABS(D2),"")</f>
        <v/>
      </c>
      <c r="S2" s="5">
        <f>ABS(F2)</f>
        <v>1415465.9835754922</v>
      </c>
      <c r="T2" s="5" t="e">
        <f>ABS(H2)</f>
        <v>#REF!</v>
      </c>
    </row>
    <row r="3" spans="1:20" ht="18">
      <c r="A3" s="26">
        <v>210019</v>
      </c>
      <c r="B3" s="2" t="s">
        <v>6</v>
      </c>
      <c r="C3" s="6">
        <f>VLOOKUP(A3,Revenue!$A$2:$C$47,3,0)</f>
        <v>233728496.38738936</v>
      </c>
      <c r="D3" s="6" t="str">
        <f>IFERROR(VLOOKUP(A3,#REF!,10,0),"")</f>
        <v/>
      </c>
      <c r="E3" s="75" t="str">
        <f>IFERROR(VLOOKUP(A3,#REF!,14,0),"")</f>
        <v/>
      </c>
      <c r="F3" s="7">
        <f>VLOOKUP(A3,'6.MHAC Modeling Results'!$A$4:$K$49,8,0)</f>
        <v>-2177225.062583176</v>
      </c>
      <c r="G3" s="76">
        <f t="shared" ref="G3:G46" si="2">F3/C3</f>
        <v>-9.3151887606146705E-3</v>
      </c>
      <c r="H3" s="50" t="e">
        <f>VLOOKUP(A3,#REF!,20,0)</f>
        <v>#REF!</v>
      </c>
      <c r="I3" s="76" t="e">
        <f>VLOOKUP(A3,#REF!,19,0)</f>
        <v>#REF!</v>
      </c>
      <c r="J3" s="52" t="e">
        <f t="shared" si="0"/>
        <v>#REF!</v>
      </c>
      <c r="K3" s="53" t="e">
        <f t="shared" si="1"/>
        <v>#REF!</v>
      </c>
      <c r="N3" s="73" t="str">
        <f t="shared" ref="N3:N47" si="3">IFERROR(ABS(E3),"")</f>
        <v/>
      </c>
      <c r="O3" s="73">
        <f t="shared" ref="O3:O47" si="4">ABS(G3)</f>
        <v>9.3151887606146705E-3</v>
      </c>
      <c r="P3" s="73" t="e">
        <f t="shared" ref="P3:P47" si="5">ABS(I3)</f>
        <v>#REF!</v>
      </c>
      <c r="R3" s="5" t="str">
        <f t="shared" ref="R3:R47" si="6">IFERROR(ABS(D3),"")</f>
        <v/>
      </c>
      <c r="S3" s="5">
        <f t="shared" ref="S3:S47" si="7">ABS(F3)</f>
        <v>2177225.062583176</v>
      </c>
      <c r="T3" s="5" t="e">
        <f t="shared" ref="T3:T47" si="8">ABS(H3)</f>
        <v>#REF!</v>
      </c>
    </row>
    <row r="4" spans="1:20" ht="18">
      <c r="A4" s="26">
        <v>210048</v>
      </c>
      <c r="B4" s="2" t="s">
        <v>4</v>
      </c>
      <c r="C4" s="6">
        <f>VLOOKUP(A4,Revenue!$A$2:$C$47,3,0)</f>
        <v>167386496.75761572</v>
      </c>
      <c r="D4" s="6" t="str">
        <f>IFERROR(VLOOKUP(A4,#REF!,10,0),"")</f>
        <v/>
      </c>
      <c r="E4" s="75" t="str">
        <f>IFERROR(VLOOKUP(A4,#REF!,14,0),"")</f>
        <v/>
      </c>
      <c r="F4" s="7">
        <f>VLOOKUP(A4,'6.MHAC Modeling Results'!$A$4:$K$49,8,0)</f>
        <v>-1290402.8799518945</v>
      </c>
      <c r="G4" s="76">
        <f t="shared" si="2"/>
        <v>-7.7091217329224859E-3</v>
      </c>
      <c r="H4" s="50" t="e">
        <f>VLOOKUP(A4,#REF!,20,0)</f>
        <v>#REF!</v>
      </c>
      <c r="I4" s="76" t="e">
        <f>VLOOKUP(A4,#REF!,19,0)</f>
        <v>#REF!</v>
      </c>
      <c r="J4" s="52" t="e">
        <f t="shared" si="0"/>
        <v>#REF!</v>
      </c>
      <c r="K4" s="53" t="e">
        <f t="shared" si="1"/>
        <v>#REF!</v>
      </c>
      <c r="N4" s="73" t="str">
        <f t="shared" si="3"/>
        <v/>
      </c>
      <c r="O4" s="73">
        <f t="shared" si="4"/>
        <v>7.7091217329224859E-3</v>
      </c>
      <c r="P4" s="73" t="e">
        <f t="shared" si="5"/>
        <v>#REF!</v>
      </c>
      <c r="R4" s="5" t="str">
        <f t="shared" si="6"/>
        <v/>
      </c>
      <c r="S4" s="5">
        <f t="shared" si="7"/>
        <v>1290402.8799518945</v>
      </c>
      <c r="T4" s="5" t="e">
        <f t="shared" si="8"/>
        <v>#REF!</v>
      </c>
    </row>
    <row r="5" spans="1:20" ht="18">
      <c r="A5" s="26">
        <v>210022</v>
      </c>
      <c r="B5" s="2" t="s">
        <v>11</v>
      </c>
      <c r="C5" s="6">
        <f>VLOOKUP(A5,Revenue!$A$2:$C$47,3,0)</f>
        <v>181410188.33315492</v>
      </c>
      <c r="D5" s="6" t="str">
        <f>IFERROR(VLOOKUP(A5,#REF!,10,0),"")</f>
        <v/>
      </c>
      <c r="E5" s="75" t="str">
        <f>IFERROR(VLOOKUP(A5,#REF!,14,0),"")</f>
        <v/>
      </c>
      <c r="F5" s="7">
        <f>VLOOKUP(A5,'6.MHAC Modeling Results'!$A$4:$K$49,8,0)</f>
        <v>-1631598.7630281334</v>
      </c>
      <c r="G5" s="76">
        <f t="shared" si="2"/>
        <v>-8.9939753550762336E-3</v>
      </c>
      <c r="H5" s="50" t="e">
        <f>VLOOKUP(A5,#REF!,20,0)</f>
        <v>#REF!</v>
      </c>
      <c r="I5" s="76" t="e">
        <f>VLOOKUP(A5,#REF!,19,0)</f>
        <v>#REF!</v>
      </c>
      <c r="J5" s="52" t="e">
        <f t="shared" si="0"/>
        <v>#REF!</v>
      </c>
      <c r="K5" s="53" t="e">
        <f t="shared" si="1"/>
        <v>#REF!</v>
      </c>
      <c r="N5" s="73" t="str">
        <f t="shared" si="3"/>
        <v/>
      </c>
      <c r="O5" s="73">
        <f t="shared" si="4"/>
        <v>8.9939753550762336E-3</v>
      </c>
      <c r="P5" s="73" t="e">
        <f t="shared" si="5"/>
        <v>#REF!</v>
      </c>
      <c r="R5" s="5" t="str">
        <f t="shared" si="6"/>
        <v/>
      </c>
      <c r="S5" s="5">
        <f t="shared" si="7"/>
        <v>1631598.7630281334</v>
      </c>
      <c r="T5" s="5" t="e">
        <f t="shared" si="8"/>
        <v>#REF!</v>
      </c>
    </row>
    <row r="6" spans="1:20" ht="18">
      <c r="A6" s="26">
        <v>210044</v>
      </c>
      <c r="B6" s="2" t="s">
        <v>7</v>
      </c>
      <c r="C6" s="6">
        <f>VLOOKUP(A6,Revenue!$A$2:$C$47,3,0)</f>
        <v>201533345.32362995</v>
      </c>
      <c r="D6" s="6" t="str">
        <f>IFERROR(VLOOKUP(A6,#REF!,10,0),"")</f>
        <v/>
      </c>
      <c r="E6" s="75" t="str">
        <f>IFERROR(VLOOKUP(A6,#REF!,14,0),"")</f>
        <v/>
      </c>
      <c r="F6" s="7">
        <f>VLOOKUP(A6,'6.MHAC Modeling Results'!$A$4:$K$49,8,0)</f>
        <v>-1553645.0923429676</v>
      </c>
      <c r="G6" s="76">
        <f t="shared" si="2"/>
        <v>-7.7091217329224851E-3</v>
      </c>
      <c r="H6" s="50" t="e">
        <f>VLOOKUP(A6,#REF!,20,0)</f>
        <v>#REF!</v>
      </c>
      <c r="I6" s="76" t="e">
        <f>VLOOKUP(A6,#REF!,19,0)</f>
        <v>#REF!</v>
      </c>
      <c r="J6" s="52" t="e">
        <f t="shared" si="0"/>
        <v>#REF!</v>
      </c>
      <c r="K6" s="53" t="e">
        <f t="shared" si="1"/>
        <v>#REF!</v>
      </c>
      <c r="N6" s="73" t="str">
        <f t="shared" si="3"/>
        <v/>
      </c>
      <c r="O6" s="73">
        <f t="shared" si="4"/>
        <v>7.7091217329224851E-3</v>
      </c>
      <c r="P6" s="73" t="e">
        <f t="shared" si="5"/>
        <v>#REF!</v>
      </c>
      <c r="R6" s="5" t="str">
        <f t="shared" si="6"/>
        <v/>
      </c>
      <c r="S6" s="5">
        <f t="shared" si="7"/>
        <v>1553645.0923429676</v>
      </c>
      <c r="T6" s="5" t="e">
        <f t="shared" si="8"/>
        <v>#REF!</v>
      </c>
    </row>
    <row r="7" spans="1:20" ht="18">
      <c r="A7" s="26">
        <v>210004</v>
      </c>
      <c r="B7" s="2" t="s">
        <v>21</v>
      </c>
      <c r="C7" s="6">
        <f>VLOOKUP(A7,Revenue!$A$2:$C$47,3,0)</f>
        <v>319596342.21781081</v>
      </c>
      <c r="D7" s="6" t="str">
        <f>IFERROR(VLOOKUP(A7,#REF!,10,0),"")</f>
        <v/>
      </c>
      <c r="E7" s="75" t="str">
        <f>IFERROR(VLOOKUP(A7,#REF!,14,0),"")</f>
        <v/>
      </c>
      <c r="F7" s="7">
        <f>VLOOKUP(A7,'6.MHAC Modeling Results'!$A$4:$K$49,8,0)</f>
        <v>-2977100.2549609113</v>
      </c>
      <c r="G7" s="76">
        <f t="shared" si="2"/>
        <v>-9.3151887606146705E-3</v>
      </c>
      <c r="H7" s="50" t="e">
        <f>VLOOKUP(A7,#REF!,20,0)</f>
        <v>#REF!</v>
      </c>
      <c r="I7" s="76" t="e">
        <f>VLOOKUP(A7,#REF!,19,0)</f>
        <v>#REF!</v>
      </c>
      <c r="J7" s="52" t="e">
        <f t="shared" si="0"/>
        <v>#REF!</v>
      </c>
      <c r="K7" s="53" t="e">
        <f t="shared" si="1"/>
        <v>#REF!</v>
      </c>
      <c r="N7" s="73" t="str">
        <f t="shared" si="3"/>
        <v/>
      </c>
      <c r="O7" s="73">
        <f t="shared" si="4"/>
        <v>9.3151887606146705E-3</v>
      </c>
      <c r="P7" s="73" t="e">
        <f t="shared" si="5"/>
        <v>#REF!</v>
      </c>
      <c r="R7" s="5" t="str">
        <f t="shared" si="6"/>
        <v/>
      </c>
      <c r="S7" s="5">
        <f t="shared" si="7"/>
        <v>2977100.2549609113</v>
      </c>
      <c r="T7" s="5" t="e">
        <f t="shared" si="8"/>
        <v>#REF!</v>
      </c>
    </row>
    <row r="8" spans="1:20" ht="18">
      <c r="A8" s="26">
        <v>210003</v>
      </c>
      <c r="B8" s="2" t="s">
        <v>3</v>
      </c>
      <c r="C8" s="6">
        <f>VLOOKUP(A8,Revenue!$A$2:$C$47,3,0)</f>
        <v>177243165.22063905</v>
      </c>
      <c r="D8" s="6" t="str">
        <f>IFERROR(VLOOKUP(A8,#REF!,10,0),"")</f>
        <v/>
      </c>
      <c r="E8" s="75" t="str">
        <f>IFERROR(VLOOKUP(A8,#REF!,14,0),"")</f>
        <v/>
      </c>
      <c r="F8" s="7">
        <f>VLOOKUP(A8,'6.MHAC Modeling Results'!$A$4:$K$49,8,0)</f>
        <v>0</v>
      </c>
      <c r="G8" s="76">
        <f t="shared" si="2"/>
        <v>0</v>
      </c>
      <c r="H8" s="50" t="e">
        <f>VLOOKUP(A8,#REF!,20,0)</f>
        <v>#REF!</v>
      </c>
      <c r="I8" s="76" t="e">
        <f>VLOOKUP(A8,#REF!,19,0)</f>
        <v>#REF!</v>
      </c>
      <c r="J8" s="52" t="e">
        <f t="shared" si="0"/>
        <v>#REF!</v>
      </c>
      <c r="K8" s="53" t="e">
        <f t="shared" si="1"/>
        <v>#REF!</v>
      </c>
      <c r="N8" s="73" t="str">
        <f t="shared" si="3"/>
        <v/>
      </c>
      <c r="O8" s="73">
        <f t="shared" si="4"/>
        <v>0</v>
      </c>
      <c r="P8" s="73" t="e">
        <f t="shared" si="5"/>
        <v>#REF!</v>
      </c>
      <c r="R8" s="5" t="str">
        <f t="shared" si="6"/>
        <v/>
      </c>
      <c r="S8" s="5">
        <f t="shared" si="7"/>
        <v>0</v>
      </c>
      <c r="T8" s="5" t="e">
        <f t="shared" si="8"/>
        <v>#REF!</v>
      </c>
    </row>
    <row r="9" spans="1:20" ht="18">
      <c r="A9" s="26">
        <v>210024</v>
      </c>
      <c r="B9" s="2" t="s">
        <v>19</v>
      </c>
      <c r="C9" s="6">
        <f>VLOOKUP(A9,Revenue!$A$2:$C$47,3,0)</f>
        <v>242505500.48554313</v>
      </c>
      <c r="D9" s="6" t="str">
        <f>IFERROR(VLOOKUP(A9,#REF!,10,0),"")</f>
        <v/>
      </c>
      <c r="E9" s="75" t="str">
        <f>IFERROR(VLOOKUP(A9,#REF!,14,0),"")</f>
        <v/>
      </c>
      <c r="F9" s="7">
        <f>VLOOKUP(A9,'6.MHAC Modeling Results'!$A$4:$K$49,8,0)</f>
        <v>-1713712.3888008161</v>
      </c>
      <c r="G9" s="76">
        <f t="shared" si="2"/>
        <v>-7.0666949218456112E-3</v>
      </c>
      <c r="H9" s="50" t="e">
        <f>VLOOKUP(A9,#REF!,20,0)</f>
        <v>#REF!</v>
      </c>
      <c r="I9" s="76" t="e">
        <f>VLOOKUP(A9,#REF!,19,0)</f>
        <v>#REF!</v>
      </c>
      <c r="J9" s="52" t="e">
        <f t="shared" si="0"/>
        <v>#REF!</v>
      </c>
      <c r="K9" s="53" t="e">
        <f t="shared" si="1"/>
        <v>#REF!</v>
      </c>
      <c r="N9" s="73" t="str">
        <f t="shared" si="3"/>
        <v/>
      </c>
      <c r="O9" s="73">
        <f t="shared" si="4"/>
        <v>7.0666949218456112E-3</v>
      </c>
      <c r="P9" s="73" t="e">
        <f t="shared" si="5"/>
        <v>#REF!</v>
      </c>
      <c r="R9" s="5" t="str">
        <f t="shared" si="6"/>
        <v/>
      </c>
      <c r="S9" s="5">
        <f t="shared" si="7"/>
        <v>1713712.3888008161</v>
      </c>
      <c r="T9" s="5" t="e">
        <f t="shared" si="8"/>
        <v>#REF!</v>
      </c>
    </row>
    <row r="10" spans="1:20" ht="18">
      <c r="A10" s="26">
        <v>210033</v>
      </c>
      <c r="B10" s="2" t="s">
        <v>20</v>
      </c>
      <c r="C10" s="6">
        <f>VLOOKUP(A10,Revenue!$A$2:$C$47,3,0)</f>
        <v>138209278.26224214</v>
      </c>
      <c r="D10" s="6" t="str">
        <f>IFERROR(VLOOKUP(A10,#REF!,10,0),"")</f>
        <v/>
      </c>
      <c r="E10" s="75" t="str">
        <f>IFERROR(VLOOKUP(A10,#REF!,14,0),"")</f>
        <v/>
      </c>
      <c r="F10" s="7">
        <f>VLOOKUP(A10,'6.MHAC Modeling Results'!$A$4:$K$49,8,0)</f>
        <v>-887893.45895248489</v>
      </c>
      <c r="G10" s="76">
        <f t="shared" si="2"/>
        <v>-6.4242681107687365E-3</v>
      </c>
      <c r="H10" s="50" t="e">
        <f>VLOOKUP(A10,#REF!,20,0)</f>
        <v>#REF!</v>
      </c>
      <c r="I10" s="76" t="e">
        <f>VLOOKUP(A10,#REF!,19,0)</f>
        <v>#REF!</v>
      </c>
      <c r="J10" s="52" t="e">
        <f t="shared" si="0"/>
        <v>#REF!</v>
      </c>
      <c r="K10" s="53" t="e">
        <f t="shared" si="1"/>
        <v>#REF!</v>
      </c>
      <c r="N10" s="73" t="str">
        <f t="shared" si="3"/>
        <v/>
      </c>
      <c r="O10" s="73">
        <f t="shared" si="4"/>
        <v>6.4242681107687365E-3</v>
      </c>
      <c r="P10" s="73" t="e">
        <f t="shared" si="5"/>
        <v>#REF!</v>
      </c>
      <c r="R10" s="5" t="str">
        <f t="shared" si="6"/>
        <v/>
      </c>
      <c r="S10" s="5">
        <f t="shared" si="7"/>
        <v>887893.45895248489</v>
      </c>
      <c r="T10" s="5" t="e">
        <f t="shared" si="8"/>
        <v>#REF!</v>
      </c>
    </row>
    <row r="11" spans="1:20" ht="18">
      <c r="A11" s="26">
        <v>210001</v>
      </c>
      <c r="B11" s="2" t="s">
        <v>12</v>
      </c>
      <c r="C11" s="6">
        <f>VLOOKUP(A11,Revenue!$A$2:$C$47,3,0)</f>
        <v>187434496.6631088</v>
      </c>
      <c r="D11" s="6" t="str">
        <f>IFERROR(VLOOKUP(A11,#REF!,10,0),"")</f>
        <v/>
      </c>
      <c r="E11" s="75" t="str">
        <f>IFERROR(VLOOKUP(A11,#REF!,14,0),"")</f>
        <v/>
      </c>
      <c r="F11" s="7">
        <f>VLOOKUP(A11,'6.MHAC Modeling Results'!$A$4:$K$49,8,0)</f>
        <v>-782684.14885101863</v>
      </c>
      <c r="G11" s="76">
        <f t="shared" si="2"/>
        <v>-4.1757742719996747E-3</v>
      </c>
      <c r="H11" s="50" t="e">
        <f>VLOOKUP(A11,#REF!,20,0)</f>
        <v>#REF!</v>
      </c>
      <c r="I11" s="76" t="e">
        <f>VLOOKUP(A11,#REF!,19,0)</f>
        <v>#REF!</v>
      </c>
      <c r="J11" s="52" t="e">
        <f t="shared" si="0"/>
        <v>#REF!</v>
      </c>
      <c r="K11" s="53" t="e">
        <f t="shared" si="1"/>
        <v>#REF!</v>
      </c>
      <c r="N11" s="73" t="str">
        <f t="shared" si="3"/>
        <v/>
      </c>
      <c r="O11" s="73">
        <f t="shared" si="4"/>
        <v>4.1757742719996747E-3</v>
      </c>
      <c r="P11" s="73" t="e">
        <f t="shared" si="5"/>
        <v>#REF!</v>
      </c>
      <c r="R11" s="5" t="str">
        <f t="shared" si="6"/>
        <v/>
      </c>
      <c r="S11" s="5">
        <f t="shared" si="7"/>
        <v>782684.14885101863</v>
      </c>
      <c r="T11" s="5" t="e">
        <f t="shared" si="8"/>
        <v>#REF!</v>
      </c>
    </row>
    <row r="12" spans="1:20" ht="18">
      <c r="A12" s="26">
        <v>210040</v>
      </c>
      <c r="B12" s="2" t="s">
        <v>13</v>
      </c>
      <c r="C12" s="6">
        <f>VLOOKUP(A12,Revenue!$A$2:$C$47,3,0)</f>
        <v>142186717.48751882</v>
      </c>
      <c r="D12" s="6" t="str">
        <f>IFERROR(VLOOKUP(A12,#REF!,10,0),"")</f>
        <v/>
      </c>
      <c r="E12" s="75" t="str">
        <f>IFERROR(VLOOKUP(A12,#REF!,14,0),"")</f>
        <v/>
      </c>
      <c r="F12" s="7">
        <f>VLOOKUP(A12,'6.MHAC Modeling Results'!$A$4:$K$49,8,0)</f>
        <v>-685084.1961974625</v>
      </c>
      <c r="G12" s="76">
        <f t="shared" si="2"/>
        <v>-4.8182010830765494E-3</v>
      </c>
      <c r="H12" s="50" t="e">
        <f>VLOOKUP(A12,#REF!,20,0)</f>
        <v>#REF!</v>
      </c>
      <c r="I12" s="76" t="e">
        <f>VLOOKUP(A12,#REF!,19,0)</f>
        <v>#REF!</v>
      </c>
      <c r="J12" s="52" t="e">
        <f t="shared" si="0"/>
        <v>#REF!</v>
      </c>
      <c r="K12" s="53" t="e">
        <f t="shared" si="1"/>
        <v>#REF!</v>
      </c>
      <c r="N12" s="73" t="str">
        <f t="shared" si="3"/>
        <v/>
      </c>
      <c r="O12" s="73">
        <f t="shared" si="4"/>
        <v>4.8182010830765494E-3</v>
      </c>
      <c r="P12" s="73" t="e">
        <f t="shared" si="5"/>
        <v>#REF!</v>
      </c>
      <c r="R12" s="5" t="str">
        <f t="shared" si="6"/>
        <v/>
      </c>
      <c r="S12" s="5">
        <f t="shared" si="7"/>
        <v>685084.1961974625</v>
      </c>
      <c r="T12" s="5" t="e">
        <f t="shared" si="8"/>
        <v>#REF!</v>
      </c>
    </row>
    <row r="13" spans="1:20" ht="18">
      <c r="A13" s="26">
        <v>210016</v>
      </c>
      <c r="B13" s="2" t="s">
        <v>18</v>
      </c>
      <c r="C13" s="6">
        <f>VLOOKUP(A13,Revenue!$A$2:$C$47,3,0)</f>
        <v>161698669.47905135</v>
      </c>
      <c r="D13" s="6" t="str">
        <f>IFERROR(VLOOKUP(A13,#REF!,10,0),"")</f>
        <v/>
      </c>
      <c r="E13" s="75" t="str">
        <f>IFERROR(VLOOKUP(A13,#REF!,14,0),"")</f>
        <v/>
      </c>
      <c r="F13" s="7">
        <f>VLOOKUP(A13,'6.MHAC Modeling Results'!$A$4:$K$49,8,0)</f>
        <v>-779096.70441600215</v>
      </c>
      <c r="G13" s="76">
        <f t="shared" si="2"/>
        <v>-4.8182010830765494E-3</v>
      </c>
      <c r="H13" s="50" t="e">
        <f>VLOOKUP(A13,#REF!,20,0)</f>
        <v>#REF!</v>
      </c>
      <c r="I13" s="76" t="e">
        <f>VLOOKUP(A13,#REF!,19,0)</f>
        <v>#REF!</v>
      </c>
      <c r="J13" s="52" t="e">
        <f t="shared" si="0"/>
        <v>#REF!</v>
      </c>
      <c r="K13" s="53" t="e">
        <f t="shared" si="1"/>
        <v>#REF!</v>
      </c>
      <c r="N13" s="73" t="str">
        <f t="shared" si="3"/>
        <v/>
      </c>
      <c r="O13" s="73">
        <f t="shared" si="4"/>
        <v>4.8182010830765494E-3</v>
      </c>
      <c r="P13" s="73" t="e">
        <f t="shared" si="5"/>
        <v>#REF!</v>
      </c>
      <c r="R13" s="5" t="str">
        <f t="shared" si="6"/>
        <v/>
      </c>
      <c r="S13" s="5">
        <f t="shared" si="7"/>
        <v>779096.70441600215</v>
      </c>
      <c r="T13" s="5" t="e">
        <f t="shared" si="8"/>
        <v>#REF!</v>
      </c>
    </row>
    <row r="14" spans="1:20" ht="18">
      <c r="A14" s="26">
        <v>210055</v>
      </c>
      <c r="B14" s="2" t="s">
        <v>9</v>
      </c>
      <c r="C14" s="6">
        <f>VLOOKUP(A14,Revenue!$A$2:$C$47,3,0)</f>
        <v>77501975.342135206</v>
      </c>
      <c r="D14" s="6" t="str">
        <f>IFERROR(VLOOKUP(A14,#REF!,10,0),"")</f>
        <v/>
      </c>
      <c r="E14" s="75" t="str">
        <f>IFERROR(VLOOKUP(A14,#REF!,14,0),"")</f>
        <v/>
      </c>
      <c r="F14" s="7">
        <f>VLOOKUP(A14,'6.MHAC Modeling Results'!$A$4:$K$49,8,0)</f>
        <v>-248946.73435603169</v>
      </c>
      <c r="G14" s="76">
        <f t="shared" si="2"/>
        <v>-3.2121340553843635E-3</v>
      </c>
      <c r="H14" s="50" t="e">
        <f>VLOOKUP(A14,#REF!,20,0)</f>
        <v>#REF!</v>
      </c>
      <c r="I14" s="76" t="e">
        <f>VLOOKUP(A14,#REF!,19,0)</f>
        <v>#REF!</v>
      </c>
      <c r="J14" s="52" t="e">
        <f t="shared" si="0"/>
        <v>#REF!</v>
      </c>
      <c r="K14" s="53" t="e">
        <f t="shared" si="1"/>
        <v>#REF!</v>
      </c>
      <c r="N14" s="73" t="str">
        <f t="shared" si="3"/>
        <v/>
      </c>
      <c r="O14" s="73">
        <f t="shared" si="4"/>
        <v>3.2121340553843635E-3</v>
      </c>
      <c r="P14" s="73" t="e">
        <f t="shared" si="5"/>
        <v>#REF!</v>
      </c>
      <c r="R14" s="5" t="str">
        <f t="shared" si="6"/>
        <v/>
      </c>
      <c r="S14" s="5">
        <f t="shared" si="7"/>
        <v>248946.73435603169</v>
      </c>
      <c r="T14" s="5" t="e">
        <f t="shared" si="8"/>
        <v>#REF!</v>
      </c>
    </row>
    <row r="15" spans="1:20" ht="18">
      <c r="A15" s="26">
        <v>210002</v>
      </c>
      <c r="B15" s="2" t="s">
        <v>29</v>
      </c>
      <c r="C15" s="6">
        <f>VLOOKUP(A15,Revenue!$A$2:$C$47,3,0)</f>
        <v>863843448.60398436</v>
      </c>
      <c r="D15" s="6" t="str">
        <f>IFERROR(VLOOKUP(A15,#REF!,10,0),"")</f>
        <v/>
      </c>
      <c r="E15" s="75" t="str">
        <f>IFERROR(VLOOKUP(A15,#REF!,14,0),"")</f>
        <v/>
      </c>
      <c r="F15" s="7">
        <f>VLOOKUP(A15,'6.MHAC Modeling Results'!$A$4:$K$49,8,0)</f>
        <v>-6104518.1115193758</v>
      </c>
      <c r="G15" s="76">
        <f t="shared" si="2"/>
        <v>-7.0666949218456104E-3</v>
      </c>
      <c r="H15" s="50" t="e">
        <f>VLOOKUP(A15,#REF!,20,0)</f>
        <v>#REF!</v>
      </c>
      <c r="I15" s="76" t="e">
        <f>VLOOKUP(A15,#REF!,19,0)</f>
        <v>#REF!</v>
      </c>
      <c r="J15" s="52" t="e">
        <f t="shared" si="0"/>
        <v>#REF!</v>
      </c>
      <c r="K15" s="53" t="e">
        <f t="shared" si="1"/>
        <v>#REF!</v>
      </c>
      <c r="N15" s="73" t="str">
        <f t="shared" si="3"/>
        <v/>
      </c>
      <c r="O15" s="73">
        <f t="shared" si="4"/>
        <v>7.0666949218456104E-3</v>
      </c>
      <c r="P15" s="73" t="e">
        <f t="shared" si="5"/>
        <v>#REF!</v>
      </c>
      <c r="R15" s="5" t="str">
        <f t="shared" si="6"/>
        <v/>
      </c>
      <c r="S15" s="5">
        <f t="shared" si="7"/>
        <v>6104518.1115193758</v>
      </c>
      <c r="T15" s="5" t="e">
        <f t="shared" si="8"/>
        <v>#REF!</v>
      </c>
    </row>
    <row r="16" spans="1:20" ht="18">
      <c r="A16" s="26">
        <v>210018</v>
      </c>
      <c r="B16" s="2" t="s">
        <v>15</v>
      </c>
      <c r="C16" s="6">
        <f>VLOOKUP(A16,Revenue!$A$2:$C$47,3,0)</f>
        <v>87652208.15841648</v>
      </c>
      <c r="D16" s="6" t="str">
        <f>IFERROR(VLOOKUP(A16,#REF!,10,0),"")</f>
        <v/>
      </c>
      <c r="E16" s="75" t="str">
        <f>IFERROR(VLOOKUP(A16,#REF!,14,0),"")</f>
        <v/>
      </c>
      <c r="F16" s="7">
        <f>VLOOKUP(A16,'6.MHAC Modeling Results'!$A$4:$K$49,8,0)</f>
        <v>-337860.77142634662</v>
      </c>
      <c r="G16" s="76">
        <f t="shared" si="2"/>
        <v>-3.8545608664612378E-3</v>
      </c>
      <c r="H16" s="50" t="e">
        <f>VLOOKUP(A16,#REF!,20,0)</f>
        <v>#REF!</v>
      </c>
      <c r="I16" s="76" t="e">
        <f>VLOOKUP(A16,#REF!,19,0)</f>
        <v>#REF!</v>
      </c>
      <c r="J16" s="52" t="e">
        <f t="shared" si="0"/>
        <v>#REF!</v>
      </c>
      <c r="K16" s="53" t="e">
        <f t="shared" si="1"/>
        <v>#REF!</v>
      </c>
      <c r="N16" s="73" t="str">
        <f t="shared" si="3"/>
        <v/>
      </c>
      <c r="O16" s="73">
        <f t="shared" si="4"/>
        <v>3.8545608664612378E-3</v>
      </c>
      <c r="P16" s="73" t="e">
        <f t="shared" si="5"/>
        <v>#REF!</v>
      </c>
      <c r="R16" s="5" t="str">
        <f t="shared" si="6"/>
        <v/>
      </c>
      <c r="S16" s="5">
        <f t="shared" si="7"/>
        <v>337860.77142634662</v>
      </c>
      <c r="T16" s="5" t="e">
        <f t="shared" si="8"/>
        <v>#REF!</v>
      </c>
    </row>
    <row r="17" spans="1:20" ht="18">
      <c r="A17" s="26">
        <v>210011</v>
      </c>
      <c r="B17" s="2" t="s">
        <v>16</v>
      </c>
      <c r="C17" s="6">
        <f>VLOOKUP(A17,Revenue!$A$2:$C$47,3,0)</f>
        <v>239121555.83864471</v>
      </c>
      <c r="D17" s="6" t="str">
        <f>IFERROR(VLOOKUP(A17,#REF!,10,0),"")</f>
        <v/>
      </c>
      <c r="E17" s="75" t="str">
        <f>IFERROR(VLOOKUP(A17,#REF!,14,0),"")</f>
        <v/>
      </c>
      <c r="F17" s="7">
        <f>VLOOKUP(A17,'6.MHAC Modeling Results'!$A$4:$K$49,8,0)</f>
        <v>-921708.59146296571</v>
      </c>
      <c r="G17" s="76">
        <f t="shared" si="2"/>
        <v>-3.8545608664612382E-3</v>
      </c>
      <c r="H17" s="50" t="e">
        <f>VLOOKUP(A17,#REF!,20,0)</f>
        <v>#REF!</v>
      </c>
      <c r="I17" s="76" t="e">
        <f>VLOOKUP(A17,#REF!,19,0)</f>
        <v>#REF!</v>
      </c>
      <c r="J17" s="52" t="e">
        <f t="shared" si="0"/>
        <v>#REF!</v>
      </c>
      <c r="K17" s="53" t="e">
        <f t="shared" si="1"/>
        <v>#REF!</v>
      </c>
      <c r="N17" s="73" t="str">
        <f t="shared" si="3"/>
        <v/>
      </c>
      <c r="O17" s="73">
        <f t="shared" si="4"/>
        <v>3.8545608664612382E-3</v>
      </c>
      <c r="P17" s="73" t="e">
        <f t="shared" si="5"/>
        <v>#REF!</v>
      </c>
      <c r="R17" s="5" t="str">
        <f t="shared" si="6"/>
        <v/>
      </c>
      <c r="S17" s="5">
        <f t="shared" si="7"/>
        <v>921708.59146296571</v>
      </c>
      <c r="T17" s="5" t="e">
        <f t="shared" si="8"/>
        <v>#REF!</v>
      </c>
    </row>
    <row r="18" spans="1:20" ht="18">
      <c r="A18" s="26">
        <v>210015</v>
      </c>
      <c r="B18" s="2" t="s">
        <v>17</v>
      </c>
      <c r="C18" s="6">
        <f>VLOOKUP(A18,Revenue!$A$2:$C$47,3,0)</f>
        <v>285691170.35922825</v>
      </c>
      <c r="D18" s="6" t="str">
        <f>IFERROR(VLOOKUP(A18,#REF!,10,0),"")</f>
        <v/>
      </c>
      <c r="E18" s="75" t="str">
        <f>IFERROR(VLOOKUP(A18,#REF!,14,0),"")</f>
        <v/>
      </c>
      <c r="F18" s="7">
        <f>VLOOKUP(A18,'6.MHAC Modeling Results'!$A$4:$K$49,8,0)</f>
        <v>-917678.33763349301</v>
      </c>
      <c r="G18" s="76">
        <f t="shared" si="2"/>
        <v>-3.2121340553843639E-3</v>
      </c>
      <c r="H18" s="50" t="e">
        <f>VLOOKUP(A18,#REF!,20,0)</f>
        <v>#REF!</v>
      </c>
      <c r="I18" s="76" t="e">
        <f>VLOOKUP(A18,#REF!,19,0)</f>
        <v>#REF!</v>
      </c>
      <c r="J18" s="52" t="e">
        <f t="shared" si="0"/>
        <v>#REF!</v>
      </c>
      <c r="K18" s="53" t="e">
        <f t="shared" si="1"/>
        <v>#REF!</v>
      </c>
      <c r="N18" s="73" t="str">
        <f t="shared" si="3"/>
        <v/>
      </c>
      <c r="O18" s="73">
        <f t="shared" si="4"/>
        <v>3.2121340553843639E-3</v>
      </c>
      <c r="P18" s="73" t="e">
        <f t="shared" si="5"/>
        <v>#REF!</v>
      </c>
      <c r="R18" s="5" t="str">
        <f t="shared" si="6"/>
        <v/>
      </c>
      <c r="S18" s="5">
        <f t="shared" si="7"/>
        <v>917678.33763349301</v>
      </c>
      <c r="T18" s="5" t="e">
        <f t="shared" si="8"/>
        <v>#REF!</v>
      </c>
    </row>
    <row r="19" spans="1:20" ht="18">
      <c r="A19" s="26">
        <v>210043</v>
      </c>
      <c r="B19" s="2" t="s">
        <v>32</v>
      </c>
      <c r="C19" s="6">
        <f>VLOOKUP(A19,Revenue!$A$2:$C$47,3,0)</f>
        <v>223155125.99975017</v>
      </c>
      <c r="D19" s="6" t="str">
        <f>IFERROR(VLOOKUP(A19,#REF!,10,0),"")</f>
        <v/>
      </c>
      <c r="E19" s="75" t="str">
        <f>IFERROR(VLOOKUP(A19,#REF!,14,0),"")</f>
        <v/>
      </c>
      <c r="F19" s="7">
        <f>VLOOKUP(A19,'6.MHAC Modeling Results'!$A$4:$K$49,8,0)</f>
        <v>-1361927.9417290357</v>
      </c>
      <c r="G19" s="76">
        <f t="shared" si="2"/>
        <v>-6.1030547052302996E-3</v>
      </c>
      <c r="H19" s="50" t="e">
        <f>VLOOKUP(A19,#REF!,20,0)</f>
        <v>#REF!</v>
      </c>
      <c r="I19" s="76" t="e">
        <f>VLOOKUP(A19,#REF!,19,0)</f>
        <v>#REF!</v>
      </c>
      <c r="J19" s="52" t="e">
        <f t="shared" si="0"/>
        <v>#REF!</v>
      </c>
      <c r="K19" s="53" t="e">
        <f t="shared" si="1"/>
        <v>#REF!</v>
      </c>
      <c r="N19" s="73" t="str">
        <f t="shared" si="3"/>
        <v/>
      </c>
      <c r="O19" s="73">
        <f t="shared" si="4"/>
        <v>6.1030547052302996E-3</v>
      </c>
      <c r="P19" s="73" t="e">
        <f t="shared" si="5"/>
        <v>#REF!</v>
      </c>
      <c r="R19" s="5" t="str">
        <f t="shared" si="6"/>
        <v/>
      </c>
      <c r="S19" s="5">
        <f t="shared" si="7"/>
        <v>1361927.9417290357</v>
      </c>
      <c r="T19" s="5" t="e">
        <f t="shared" si="8"/>
        <v>#REF!</v>
      </c>
    </row>
    <row r="20" spans="1:20" ht="18">
      <c r="A20" s="26">
        <v>210057</v>
      </c>
      <c r="B20" s="2" t="s">
        <v>14</v>
      </c>
      <c r="C20" s="6">
        <f>VLOOKUP(A20,Revenue!$A$2:$C$47,3,0)</f>
        <v>228731774.96088892</v>
      </c>
      <c r="D20" s="6" t="str">
        <f>IFERROR(VLOOKUP(A20,#REF!,10,0),"")</f>
        <v/>
      </c>
      <c r="E20" s="75" t="str">
        <f>IFERROR(VLOOKUP(A20,#REF!,14,0),"")</f>
        <v/>
      </c>
      <c r="F20" s="7">
        <f>VLOOKUP(A20,'6.MHAC Modeling Results'!$A$4:$K$49,8,0)</f>
        <v>-440830.27434022923</v>
      </c>
      <c r="G20" s="76">
        <f t="shared" si="2"/>
        <v>-1.9272804332306137E-3</v>
      </c>
      <c r="H20" s="50" t="e">
        <f>VLOOKUP(A20,#REF!,20,0)</f>
        <v>#REF!</v>
      </c>
      <c r="I20" s="76" t="e">
        <f>VLOOKUP(A20,#REF!,19,0)</f>
        <v>#REF!</v>
      </c>
      <c r="J20" s="52" t="e">
        <f t="shared" si="0"/>
        <v>#REF!</v>
      </c>
      <c r="K20" s="53" t="e">
        <f t="shared" si="1"/>
        <v>#REF!</v>
      </c>
      <c r="N20" s="73" t="str">
        <f t="shared" si="3"/>
        <v/>
      </c>
      <c r="O20" s="73">
        <f t="shared" si="4"/>
        <v>1.9272804332306137E-3</v>
      </c>
      <c r="P20" s="73" t="e">
        <f t="shared" si="5"/>
        <v>#REF!</v>
      </c>
      <c r="R20" s="5" t="str">
        <f t="shared" si="6"/>
        <v/>
      </c>
      <c r="S20" s="5">
        <f t="shared" si="7"/>
        <v>440830.27434022923</v>
      </c>
      <c r="T20" s="5" t="e">
        <f t="shared" si="8"/>
        <v>#REF!</v>
      </c>
    </row>
    <row r="21" spans="1:20" ht="18">
      <c r="A21" s="26">
        <v>210063</v>
      </c>
      <c r="B21" s="2" t="s">
        <v>104</v>
      </c>
      <c r="C21" s="6">
        <f>VLOOKUP(A21,Revenue!$A$2:$C$47,3,0)</f>
        <v>216335127.85977465</v>
      </c>
      <c r="D21" s="6" t="str">
        <f>IFERROR(VLOOKUP(A21,#REF!,10,0),"")</f>
        <v/>
      </c>
      <c r="E21" s="75" t="str">
        <f>IFERROR(VLOOKUP(A21,#REF!,14,0),"")</f>
        <v/>
      </c>
      <c r="F21" s="7">
        <f>VLOOKUP(A21,'6.MHAC Modeling Results'!$A$4:$K$49,8,0)</f>
        <v>-972856.40420403879</v>
      </c>
      <c r="G21" s="76">
        <f t="shared" si="2"/>
        <v>-4.4969876775381133E-3</v>
      </c>
      <c r="H21" s="50" t="e">
        <f>VLOOKUP(A21,#REF!,20,0)</f>
        <v>#REF!</v>
      </c>
      <c r="I21" s="76" t="e">
        <f>VLOOKUP(A21,#REF!,19,0)</f>
        <v>#REF!</v>
      </c>
      <c r="J21" s="52" t="e">
        <f t="shared" si="0"/>
        <v>#REF!</v>
      </c>
      <c r="K21" s="53" t="e">
        <f t="shared" si="1"/>
        <v>#REF!</v>
      </c>
      <c r="N21" s="73" t="str">
        <f t="shared" si="3"/>
        <v/>
      </c>
      <c r="O21" s="73">
        <f t="shared" si="4"/>
        <v>4.4969876775381133E-3</v>
      </c>
      <c r="P21" s="73" t="e">
        <f t="shared" si="5"/>
        <v>#REF!</v>
      </c>
      <c r="R21" s="5" t="str">
        <f t="shared" si="6"/>
        <v/>
      </c>
      <c r="S21" s="5">
        <f t="shared" si="7"/>
        <v>972856.40420403879</v>
      </c>
      <c r="T21" s="5" t="e">
        <f t="shared" si="8"/>
        <v>#REF!</v>
      </c>
    </row>
    <row r="22" spans="1:20" ht="18">
      <c r="A22" s="26">
        <v>210013</v>
      </c>
      <c r="B22" s="2" t="s">
        <v>5</v>
      </c>
      <c r="C22" s="6">
        <f>VLOOKUP(A22,Revenue!$A$2:$C$47,3,0)</f>
        <v>78212787.330636472</v>
      </c>
      <c r="D22" s="6" t="str">
        <f>IFERROR(VLOOKUP(A22,#REF!,10,0),"")</f>
        <v/>
      </c>
      <c r="E22" s="75" t="str">
        <f>IFERROR(VLOOKUP(A22,#REF!,14,0),"")</f>
        <v/>
      </c>
      <c r="F22" s="7">
        <f>VLOOKUP(A22,'6.MHAC Modeling Results'!$A$4:$K$49,8,0)</f>
        <v>0</v>
      </c>
      <c r="G22" s="76">
        <f t="shared" si="2"/>
        <v>0</v>
      </c>
      <c r="H22" s="50" t="e">
        <f>VLOOKUP(A22,#REF!,20,0)</f>
        <v>#REF!</v>
      </c>
      <c r="I22" s="76" t="e">
        <f>VLOOKUP(A22,#REF!,19,0)</f>
        <v>#REF!</v>
      </c>
      <c r="J22" s="52" t="e">
        <f t="shared" si="0"/>
        <v>#REF!</v>
      </c>
      <c r="K22" s="53" t="e">
        <f t="shared" si="1"/>
        <v>#REF!</v>
      </c>
      <c r="N22" s="73" t="str">
        <f t="shared" si="3"/>
        <v/>
      </c>
      <c r="O22" s="73">
        <f t="shared" si="4"/>
        <v>0</v>
      </c>
      <c r="P22" s="73" t="e">
        <f t="shared" si="5"/>
        <v>#REF!</v>
      </c>
      <c r="R22" s="5" t="str">
        <f t="shared" si="6"/>
        <v/>
      </c>
      <c r="S22" s="5">
        <f t="shared" si="7"/>
        <v>0</v>
      </c>
      <c r="T22" s="5" t="e">
        <f t="shared" si="8"/>
        <v>#REF!</v>
      </c>
    </row>
    <row r="23" spans="1:20" ht="18">
      <c r="A23" s="26">
        <v>210012</v>
      </c>
      <c r="B23" s="2" t="s">
        <v>24</v>
      </c>
      <c r="C23" s="6">
        <f>VLOOKUP(A23,Revenue!$A$2:$C$47,3,0)</f>
        <v>429154678.73181057</v>
      </c>
      <c r="D23" s="6" t="str">
        <f>IFERROR(VLOOKUP(A23,#REF!,10,0),"")</f>
        <v/>
      </c>
      <c r="E23" s="75" t="str">
        <f>IFERROR(VLOOKUP(A23,#REF!,14,0),"")</f>
        <v/>
      </c>
      <c r="F23" s="7">
        <f>VLOOKUP(A23,'6.MHAC Modeling Results'!$A$4:$K$49,8,0)</f>
        <v>-1929903.3020147798</v>
      </c>
      <c r="G23" s="76">
        <f t="shared" si="2"/>
        <v>-4.4969876775381125E-3</v>
      </c>
      <c r="H23" s="50" t="e">
        <f>VLOOKUP(A23,#REF!,20,0)</f>
        <v>#REF!</v>
      </c>
      <c r="I23" s="76" t="e">
        <f>VLOOKUP(A23,#REF!,19,0)</f>
        <v>#REF!</v>
      </c>
      <c r="J23" s="52" t="e">
        <f t="shared" si="0"/>
        <v>#REF!</v>
      </c>
      <c r="K23" s="53" t="e">
        <f t="shared" si="1"/>
        <v>#REF!</v>
      </c>
      <c r="N23" s="73" t="str">
        <f t="shared" si="3"/>
        <v/>
      </c>
      <c r="O23" s="73">
        <f t="shared" si="4"/>
        <v>4.4969876775381125E-3</v>
      </c>
      <c r="P23" s="73" t="e">
        <f t="shared" si="5"/>
        <v>#REF!</v>
      </c>
      <c r="R23" s="5" t="str">
        <f t="shared" si="6"/>
        <v/>
      </c>
      <c r="S23" s="5">
        <f t="shared" si="7"/>
        <v>1929903.3020147798</v>
      </c>
      <c r="T23" s="5" t="e">
        <f t="shared" si="8"/>
        <v>#REF!</v>
      </c>
    </row>
    <row r="24" spans="1:20" ht="18">
      <c r="A24" s="26">
        <v>210029</v>
      </c>
      <c r="B24" s="2" t="s">
        <v>8</v>
      </c>
      <c r="C24" s="6">
        <f>VLOOKUP(A24,Revenue!$A$2:$C$47,3,0)</f>
        <v>356396901.46731883</v>
      </c>
      <c r="D24" s="6" t="str">
        <f>IFERROR(VLOOKUP(A24,#REF!,10,0),"")</f>
        <v/>
      </c>
      <c r="E24" s="75" t="str">
        <f>IFERROR(VLOOKUP(A24,#REF!,14,0),"")</f>
        <v/>
      </c>
      <c r="F24" s="7">
        <f>VLOOKUP(A24,'6.MHAC Modeling Results'!$A$4:$K$49,8,0)</f>
        <v>0</v>
      </c>
      <c r="G24" s="76">
        <f t="shared" si="2"/>
        <v>0</v>
      </c>
      <c r="H24" s="50" t="e">
        <f>VLOOKUP(A24,#REF!,20,0)</f>
        <v>#REF!</v>
      </c>
      <c r="I24" s="76" t="e">
        <f>VLOOKUP(A24,#REF!,19,0)</f>
        <v>#REF!</v>
      </c>
      <c r="J24" s="52" t="e">
        <f t="shared" si="0"/>
        <v>#REF!</v>
      </c>
      <c r="K24" s="53" t="e">
        <f t="shared" si="1"/>
        <v>#REF!</v>
      </c>
      <c r="N24" s="73" t="str">
        <f t="shared" si="3"/>
        <v/>
      </c>
      <c r="O24" s="73">
        <f t="shared" si="4"/>
        <v>0</v>
      </c>
      <c r="P24" s="73" t="e">
        <f t="shared" si="5"/>
        <v>#REF!</v>
      </c>
      <c r="R24" s="5" t="str">
        <f t="shared" si="6"/>
        <v/>
      </c>
      <c r="S24" s="5">
        <f t="shared" si="7"/>
        <v>0</v>
      </c>
      <c r="T24" s="5" t="e">
        <f t="shared" si="8"/>
        <v>#REF!</v>
      </c>
    </row>
    <row r="25" spans="1:20" ht="18">
      <c r="A25" s="26">
        <v>210034</v>
      </c>
      <c r="B25" s="2" t="s">
        <v>27</v>
      </c>
      <c r="C25" s="6">
        <f>VLOOKUP(A25,Revenue!$A$2:$C$47,3,0)</f>
        <v>124002219.66514386</v>
      </c>
      <c r="D25" s="6" t="str">
        <f>IFERROR(VLOOKUP(A25,#REF!,10,0),"")</f>
        <v/>
      </c>
      <c r="E25" s="75" t="str">
        <f>IFERROR(VLOOKUP(A25,#REF!,14,0),"")</f>
        <v/>
      </c>
      <c r="F25" s="7">
        <f>VLOOKUP(A25,'6.MHAC Modeling Results'!$A$4:$K$49,8,0)</f>
        <v>-557636.45382152626</v>
      </c>
      <c r="G25" s="76">
        <f t="shared" si="2"/>
        <v>-4.4969876775381133E-3</v>
      </c>
      <c r="H25" s="50" t="e">
        <f>VLOOKUP(A25,#REF!,20,0)</f>
        <v>#REF!</v>
      </c>
      <c r="I25" s="76" t="e">
        <f>VLOOKUP(A25,#REF!,19,0)</f>
        <v>#REF!</v>
      </c>
      <c r="J25" s="52" t="e">
        <f t="shared" si="0"/>
        <v>#REF!</v>
      </c>
      <c r="K25" s="53" t="e">
        <f t="shared" si="1"/>
        <v>#REF!</v>
      </c>
      <c r="N25" s="73" t="str">
        <f t="shared" si="3"/>
        <v/>
      </c>
      <c r="O25" s="73">
        <f t="shared" si="4"/>
        <v>4.4969876775381133E-3</v>
      </c>
      <c r="P25" s="73" t="e">
        <f t="shared" si="5"/>
        <v>#REF!</v>
      </c>
      <c r="R25" s="5" t="str">
        <f t="shared" si="6"/>
        <v/>
      </c>
      <c r="S25" s="5">
        <f t="shared" si="7"/>
        <v>557636.45382152626</v>
      </c>
      <c r="T25" s="5" t="e">
        <f t="shared" si="8"/>
        <v>#REF!</v>
      </c>
    </row>
    <row r="26" spans="1:20" ht="18">
      <c r="A26" s="26">
        <v>210060</v>
      </c>
      <c r="B26" s="2" t="s">
        <v>10</v>
      </c>
      <c r="C26" s="6">
        <f>VLOOKUP(A26,Revenue!$A$2:$C$47,3,0)</f>
        <v>17776133.449990414</v>
      </c>
      <c r="D26" s="6" t="str">
        <f>IFERROR(VLOOKUP(A26,#REF!,10,0),"")</f>
        <v/>
      </c>
      <c r="E26" s="75" t="str">
        <f>IFERROR(VLOOKUP(A26,#REF!,14,0),"")</f>
        <v/>
      </c>
      <c r="F26" s="7">
        <f>VLOOKUP(A26,'6.MHAC Modeling Results'!$A$4:$K$49,8,0)</f>
        <v>0</v>
      </c>
      <c r="G26" s="76">
        <f t="shared" si="2"/>
        <v>0</v>
      </c>
      <c r="H26" s="50" t="e">
        <f>VLOOKUP(A26,#REF!,20,0)</f>
        <v>#REF!</v>
      </c>
      <c r="I26" s="76" t="e">
        <f>VLOOKUP(A26,#REF!,19,0)</f>
        <v>#REF!</v>
      </c>
      <c r="J26" s="52" t="e">
        <f t="shared" si="0"/>
        <v>#REF!</v>
      </c>
      <c r="K26" s="53" t="e">
        <f t="shared" si="1"/>
        <v>#REF!</v>
      </c>
      <c r="N26" s="73" t="str">
        <f t="shared" si="3"/>
        <v/>
      </c>
      <c r="O26" s="73">
        <f t="shared" si="4"/>
        <v>0</v>
      </c>
      <c r="P26" s="73" t="e">
        <f t="shared" si="5"/>
        <v>#REF!</v>
      </c>
      <c r="R26" s="5" t="str">
        <f t="shared" si="6"/>
        <v/>
      </c>
      <c r="S26" s="5">
        <f t="shared" si="7"/>
        <v>0</v>
      </c>
      <c r="T26" s="5" t="e">
        <f t="shared" si="8"/>
        <v>#REF!</v>
      </c>
    </row>
    <row r="27" spans="1:20" ht="18">
      <c r="A27" s="26">
        <v>210049</v>
      </c>
      <c r="B27" s="2" t="s">
        <v>31</v>
      </c>
      <c r="C27" s="6">
        <f>VLOOKUP(A27,Revenue!$A$2:$C$47,3,0)</f>
        <v>148917095.66517001</v>
      </c>
      <c r="D27" s="6" t="str">
        <f>IFERROR(VLOOKUP(A27,#REF!,10,0),"")</f>
        <v/>
      </c>
      <c r="E27" s="75" t="str">
        <f>IFERROR(VLOOKUP(A27,#REF!,14,0),"")</f>
        <v/>
      </c>
      <c r="F27" s="7">
        <f>VLOOKUP(A27,'6.MHAC Modeling Results'!$A$4:$K$49,8,0)</f>
        <v>-669678.3441810339</v>
      </c>
      <c r="G27" s="76">
        <f t="shared" si="2"/>
        <v>-4.4969876775381133E-3</v>
      </c>
      <c r="H27" s="50" t="e">
        <f>VLOOKUP(A27,#REF!,20,0)</f>
        <v>#REF!</v>
      </c>
      <c r="I27" s="76" t="e">
        <f>VLOOKUP(A27,#REF!,19,0)</f>
        <v>#REF!</v>
      </c>
      <c r="J27" s="52" t="e">
        <f t="shared" si="0"/>
        <v>#REF!</v>
      </c>
      <c r="K27" s="53" t="e">
        <f t="shared" si="1"/>
        <v>#REF!</v>
      </c>
      <c r="N27" s="73" t="str">
        <f t="shared" si="3"/>
        <v/>
      </c>
      <c r="O27" s="73">
        <f t="shared" si="4"/>
        <v>4.4969876775381133E-3</v>
      </c>
      <c r="P27" s="73" t="e">
        <f t="shared" si="5"/>
        <v>#REF!</v>
      </c>
      <c r="R27" s="5" t="str">
        <f t="shared" si="6"/>
        <v/>
      </c>
      <c r="S27" s="5">
        <f t="shared" si="7"/>
        <v>669678.3441810339</v>
      </c>
      <c r="T27" s="5" t="e">
        <f t="shared" si="8"/>
        <v>#REF!</v>
      </c>
    </row>
    <row r="28" spans="1:20" ht="18">
      <c r="A28" s="26">
        <v>210009</v>
      </c>
      <c r="B28" s="2" t="s">
        <v>42</v>
      </c>
      <c r="C28" s="6">
        <f>VLOOKUP(A28,Revenue!$A$2:$C$47,3,0)</f>
        <v>1292515919.3162181</v>
      </c>
      <c r="D28" s="6" t="str">
        <f>IFERROR(VLOOKUP(A28,#REF!,10,0),"")</f>
        <v/>
      </c>
      <c r="E28" s="75" t="str">
        <f>IFERROR(VLOOKUP(A28,#REF!,14,0),"")</f>
        <v/>
      </c>
      <c r="F28" s="7">
        <f>VLOOKUP(A28,'6.MHAC Modeling Results'!$A$4:$K$49,8,0)</f>
        <v>-9133815.6834365297</v>
      </c>
      <c r="G28" s="76">
        <f t="shared" si="2"/>
        <v>-7.0666949218456104E-3</v>
      </c>
      <c r="H28" s="50" t="e">
        <f>VLOOKUP(A28,#REF!,20,0)</f>
        <v>#REF!</v>
      </c>
      <c r="I28" s="76" t="e">
        <f>VLOOKUP(A28,#REF!,19,0)</f>
        <v>#REF!</v>
      </c>
      <c r="J28" s="52" t="e">
        <f t="shared" si="0"/>
        <v>#REF!</v>
      </c>
      <c r="K28" s="53" t="e">
        <f t="shared" si="1"/>
        <v>#REF!</v>
      </c>
      <c r="N28" s="73" t="str">
        <f t="shared" si="3"/>
        <v/>
      </c>
      <c r="O28" s="73">
        <f t="shared" si="4"/>
        <v>7.0666949218456104E-3</v>
      </c>
      <c r="P28" s="73" t="e">
        <f t="shared" si="5"/>
        <v>#REF!</v>
      </c>
      <c r="R28" s="5" t="str">
        <f t="shared" si="6"/>
        <v/>
      </c>
      <c r="S28" s="5">
        <f t="shared" si="7"/>
        <v>9133815.6834365297</v>
      </c>
      <c r="T28" s="5" t="e">
        <f t="shared" si="8"/>
        <v>#REF!</v>
      </c>
    </row>
    <row r="29" spans="1:20" ht="18">
      <c r="A29" s="26">
        <v>210051</v>
      </c>
      <c r="B29" s="2" t="s">
        <v>36</v>
      </c>
      <c r="C29" s="6">
        <f>VLOOKUP(A29,Revenue!$A$2:$C$47,3,0)</f>
        <v>136225390.68992713</v>
      </c>
      <c r="D29" s="6" t="str">
        <f>IFERROR(VLOOKUP(A29,#REF!,10,0),"")</f>
        <v/>
      </c>
      <c r="E29" s="75" t="str">
        <f>IFERROR(VLOOKUP(A29,#REF!,14,0),"")</f>
        <v/>
      </c>
      <c r="F29" s="7">
        <f>VLOOKUP(A29,'6.MHAC Modeling Results'!$A$4:$K$49,8,0)</f>
        <v>-743876.16829336435</v>
      </c>
      <c r="G29" s="76">
        <f t="shared" si="2"/>
        <v>-5.4606278941534249E-3</v>
      </c>
      <c r="H29" s="50" t="e">
        <f>VLOOKUP(A29,#REF!,20,0)</f>
        <v>#REF!</v>
      </c>
      <c r="I29" s="76" t="e">
        <f>VLOOKUP(A29,#REF!,19,0)</f>
        <v>#REF!</v>
      </c>
      <c r="J29" s="52" t="e">
        <f t="shared" si="0"/>
        <v>#REF!</v>
      </c>
      <c r="K29" s="53" t="e">
        <f t="shared" si="1"/>
        <v>#REF!</v>
      </c>
      <c r="N29" s="73" t="str">
        <f t="shared" si="3"/>
        <v/>
      </c>
      <c r="O29" s="73">
        <f t="shared" si="4"/>
        <v>5.4606278941534249E-3</v>
      </c>
      <c r="P29" s="73" t="e">
        <f t="shared" si="5"/>
        <v>#REF!</v>
      </c>
      <c r="R29" s="5" t="str">
        <f t="shared" si="6"/>
        <v/>
      </c>
      <c r="S29" s="5">
        <f t="shared" si="7"/>
        <v>743876.16829336435</v>
      </c>
      <c r="T29" s="5" t="e">
        <f t="shared" si="8"/>
        <v>#REF!</v>
      </c>
    </row>
    <row r="30" spans="1:20" ht="18">
      <c r="A30" s="26">
        <v>210005</v>
      </c>
      <c r="B30" s="2" t="s">
        <v>33</v>
      </c>
      <c r="C30" s="6">
        <f>VLOOKUP(A30,Revenue!$A$2:$C$47,3,0)</f>
        <v>189480762.70820984</v>
      </c>
      <c r="D30" s="6" t="str">
        <f>IFERROR(VLOOKUP(A30,#REF!,10,0),"")</f>
        <v/>
      </c>
      <c r="E30" s="75" t="str">
        <f>IFERROR(VLOOKUP(A30,#REF!,14,0),"")</f>
        <v/>
      </c>
      <c r="F30" s="7">
        <f>VLOOKUP(A30,'6.MHAC Modeling Results'!$A$4:$K$49,8,0)</f>
        <v>-791228.89395581803</v>
      </c>
      <c r="G30" s="76">
        <f t="shared" si="2"/>
        <v>-4.1757742719996747E-3</v>
      </c>
      <c r="H30" s="50" t="e">
        <f>VLOOKUP(A30,#REF!,20,0)</f>
        <v>#REF!</v>
      </c>
      <c r="I30" s="76" t="e">
        <f>VLOOKUP(A30,#REF!,19,0)</f>
        <v>#REF!</v>
      </c>
      <c r="J30" s="52" t="e">
        <f t="shared" si="0"/>
        <v>#REF!</v>
      </c>
      <c r="K30" s="53" t="e">
        <f t="shared" si="1"/>
        <v>#REF!</v>
      </c>
      <c r="N30" s="73" t="str">
        <f t="shared" si="3"/>
        <v/>
      </c>
      <c r="O30" s="73">
        <f t="shared" si="4"/>
        <v>4.1757742719996747E-3</v>
      </c>
      <c r="P30" s="73" t="e">
        <f t="shared" si="5"/>
        <v>#REF!</v>
      </c>
      <c r="R30" s="5" t="str">
        <f t="shared" si="6"/>
        <v/>
      </c>
      <c r="S30" s="5">
        <f t="shared" si="7"/>
        <v>791228.89395581803</v>
      </c>
      <c r="T30" s="5" t="e">
        <f t="shared" si="8"/>
        <v>#REF!</v>
      </c>
    </row>
    <row r="31" spans="1:20" ht="18">
      <c r="A31" s="26">
        <v>210037</v>
      </c>
      <c r="B31" s="2" t="s">
        <v>34</v>
      </c>
      <c r="C31" s="6">
        <f>VLOOKUP(A31,Revenue!$A$2:$C$47,3,0)</f>
        <v>94828131.850859523</v>
      </c>
      <c r="D31" s="6" t="str">
        <f>IFERROR(VLOOKUP(A31,#REF!,10,0),"")</f>
        <v/>
      </c>
      <c r="E31" s="75" t="str">
        <f>IFERROR(VLOOKUP(A31,#REF!,14,0),"")</f>
        <v/>
      </c>
      <c r="F31" s="7">
        <f>VLOOKUP(A31,'6.MHAC Modeling Results'!$A$4:$K$49,8,0)</f>
        <v>-91380.201517986599</v>
      </c>
      <c r="G31" s="76">
        <f t="shared" si="2"/>
        <v>-9.6364021661530109E-4</v>
      </c>
      <c r="H31" s="50" t="e">
        <f>VLOOKUP(A31,#REF!,20,0)</f>
        <v>#REF!</v>
      </c>
      <c r="I31" s="76" t="e">
        <f>VLOOKUP(A31,#REF!,19,0)</f>
        <v>#REF!</v>
      </c>
      <c r="J31" s="52" t="e">
        <f t="shared" si="0"/>
        <v>#REF!</v>
      </c>
      <c r="K31" s="53" t="e">
        <f t="shared" si="1"/>
        <v>#REF!</v>
      </c>
      <c r="N31" s="73" t="str">
        <f t="shared" si="3"/>
        <v/>
      </c>
      <c r="O31" s="73">
        <f t="shared" si="4"/>
        <v>9.6364021661530109E-4</v>
      </c>
      <c r="P31" s="73" t="e">
        <f t="shared" si="5"/>
        <v>#REF!</v>
      </c>
      <c r="R31" s="5" t="str">
        <f t="shared" si="6"/>
        <v/>
      </c>
      <c r="S31" s="5">
        <f t="shared" si="7"/>
        <v>91380.201517986599</v>
      </c>
      <c r="T31" s="5" t="e">
        <f t="shared" si="8"/>
        <v>#REF!</v>
      </c>
    </row>
    <row r="32" spans="1:20" ht="18">
      <c r="A32" s="26">
        <v>210023</v>
      </c>
      <c r="B32" s="2" t="s">
        <v>40</v>
      </c>
      <c r="C32" s="6">
        <f>VLOOKUP(A32,Revenue!$A$2:$C$47,3,0)</f>
        <v>310117074.81392145</v>
      </c>
      <c r="D32" s="6" t="str">
        <f>IFERROR(VLOOKUP(A32,#REF!,10,0),"")</f>
        <v/>
      </c>
      <c r="E32" s="75" t="str">
        <f>IFERROR(VLOOKUP(A32,#REF!,14,0),"")</f>
        <v/>
      </c>
      <c r="F32" s="7">
        <f>VLOOKUP(A32,'6.MHAC Modeling Results'!$A$4:$K$49,8,0)</f>
        <v>-1892661.47261536</v>
      </c>
      <c r="G32" s="76">
        <f t="shared" si="2"/>
        <v>-6.1030547052302996E-3</v>
      </c>
      <c r="H32" s="50" t="e">
        <f>VLOOKUP(A32,#REF!,20,0)</f>
        <v>#REF!</v>
      </c>
      <c r="I32" s="76" t="e">
        <f>VLOOKUP(A32,#REF!,19,0)</f>
        <v>#REF!</v>
      </c>
      <c r="J32" s="52" t="e">
        <f t="shared" si="0"/>
        <v>#REF!</v>
      </c>
      <c r="K32" s="53" t="e">
        <f t="shared" si="1"/>
        <v>#REF!</v>
      </c>
      <c r="N32" s="73" t="str">
        <f t="shared" si="3"/>
        <v/>
      </c>
      <c r="O32" s="73">
        <f t="shared" si="4"/>
        <v>6.1030547052302996E-3</v>
      </c>
      <c r="P32" s="73" t="e">
        <f t="shared" si="5"/>
        <v>#REF!</v>
      </c>
      <c r="R32" s="5" t="str">
        <f t="shared" si="6"/>
        <v/>
      </c>
      <c r="S32" s="5">
        <f t="shared" si="7"/>
        <v>1892661.47261536</v>
      </c>
      <c r="T32" s="5" t="e">
        <f t="shared" si="8"/>
        <v>#REF!</v>
      </c>
    </row>
    <row r="33" spans="1:20" ht="18">
      <c r="A33" s="26">
        <v>210010</v>
      </c>
      <c r="B33" s="2" t="s">
        <v>43</v>
      </c>
      <c r="C33" s="6">
        <f>VLOOKUP(A33,Revenue!$A$2:$C$47,3,0)</f>
        <v>25127934.983499374</v>
      </c>
      <c r="D33" s="6" t="str">
        <f>IFERROR(VLOOKUP(A33,#REF!,10,0),"")</f>
        <v/>
      </c>
      <c r="E33" s="75" t="str">
        <f>IFERROR(VLOOKUP(A33,#REF!,14,0),"")</f>
        <v/>
      </c>
      <c r="F33" s="7">
        <f>VLOOKUP(A33,'6.MHAC Modeling Results'!$A$4:$K$49,8,0)</f>
        <v>-88785.725272180731</v>
      </c>
      <c r="G33" s="76">
        <f t="shared" si="2"/>
        <v>-3.5333474609228008E-3</v>
      </c>
      <c r="H33" s="50" t="e">
        <f>VLOOKUP(A33,#REF!,20,0)</f>
        <v>#REF!</v>
      </c>
      <c r="I33" s="76" t="e">
        <f>VLOOKUP(A33,#REF!,19,0)</f>
        <v>#REF!</v>
      </c>
      <c r="J33" s="52" t="e">
        <f t="shared" si="0"/>
        <v>#REF!</v>
      </c>
      <c r="K33" s="53" t="e">
        <f t="shared" si="1"/>
        <v>#REF!</v>
      </c>
      <c r="N33" s="73" t="str">
        <f t="shared" si="3"/>
        <v/>
      </c>
      <c r="O33" s="73">
        <f t="shared" si="4"/>
        <v>3.5333474609228008E-3</v>
      </c>
      <c r="P33" s="73" t="e">
        <f t="shared" si="5"/>
        <v>#REF!</v>
      </c>
      <c r="R33" s="5" t="str">
        <f t="shared" si="6"/>
        <v/>
      </c>
      <c r="S33" s="5">
        <f t="shared" si="7"/>
        <v>88785.725272180731</v>
      </c>
      <c r="T33" s="5" t="e">
        <f t="shared" si="8"/>
        <v>#REF!</v>
      </c>
    </row>
    <row r="34" spans="1:20" ht="18">
      <c r="A34" s="26">
        <v>210038</v>
      </c>
      <c r="B34" s="2" t="s">
        <v>25</v>
      </c>
      <c r="C34" s="6">
        <f>VLOOKUP(A34,Revenue!$A$2:$C$47,3,0)</f>
        <v>133787810.98689511</v>
      </c>
      <c r="D34" s="6" t="str">
        <f>IFERROR(VLOOKUP(A34,#REF!,10,0),"")</f>
        <v/>
      </c>
      <c r="E34" s="75" t="str">
        <f>IFERROR(VLOOKUP(A34,#REF!,14,0),"")</f>
        <v/>
      </c>
      <c r="F34" s="7">
        <f>VLOOKUP(A34,'6.MHAC Modeling Results'!$A$4:$K$49,8,0)</f>
        <v>-214872.19193316525</v>
      </c>
      <c r="G34" s="76">
        <f t="shared" si="2"/>
        <v>-1.6060670276921757E-3</v>
      </c>
      <c r="H34" s="50" t="e">
        <f>VLOOKUP(A34,#REF!,20,0)</f>
        <v>#REF!</v>
      </c>
      <c r="I34" s="76" t="e">
        <f>VLOOKUP(A34,#REF!,19,0)</f>
        <v>#REF!</v>
      </c>
      <c r="J34" s="52" t="e">
        <f t="shared" si="0"/>
        <v>#REF!</v>
      </c>
      <c r="K34" s="53" t="e">
        <f t="shared" si="1"/>
        <v>#REF!</v>
      </c>
      <c r="N34" s="73" t="str">
        <f t="shared" si="3"/>
        <v/>
      </c>
      <c r="O34" s="73">
        <f t="shared" si="4"/>
        <v>1.6060670276921757E-3</v>
      </c>
      <c r="P34" s="73" t="e">
        <f t="shared" si="5"/>
        <v>#REF!</v>
      </c>
      <c r="R34" s="5" t="str">
        <f t="shared" si="6"/>
        <v/>
      </c>
      <c r="S34" s="5">
        <f t="shared" si="7"/>
        <v>214872.19193316525</v>
      </c>
      <c r="T34" s="5" t="e">
        <f t="shared" si="8"/>
        <v>#REF!</v>
      </c>
    </row>
    <row r="35" spans="1:20" ht="18">
      <c r="A35" s="26">
        <v>210058</v>
      </c>
      <c r="B35" s="2" t="s">
        <v>93</v>
      </c>
      <c r="C35" s="6">
        <f>VLOOKUP(A35,Revenue!$A$2:$C$47,3,0)</f>
        <v>69104845.787293941</v>
      </c>
      <c r="D35" s="6" t="str">
        <f>IFERROR(VLOOKUP(A35,#REF!,10,0),"")</f>
        <v/>
      </c>
      <c r="E35" s="75" t="str">
        <f>IFERROR(VLOOKUP(A35,#REF!,14,0),"")</f>
        <v/>
      </c>
      <c r="F35" s="7">
        <f>VLOOKUP(A35,'6.MHAC Modeling Results'!$A$4:$K$49,8,0)</f>
        <v>-44394.805709089735</v>
      </c>
      <c r="G35" s="76">
        <f t="shared" si="2"/>
        <v>-6.4242681107686439E-4</v>
      </c>
      <c r="H35" s="50" t="e">
        <f>VLOOKUP(A35,#REF!,20,0)</f>
        <v>#REF!</v>
      </c>
      <c r="I35" s="76" t="e">
        <f>VLOOKUP(A35,#REF!,19,0)</f>
        <v>#REF!</v>
      </c>
      <c r="J35" s="52" t="e">
        <f t="shared" si="0"/>
        <v>#REF!</v>
      </c>
      <c r="K35" s="53" t="e">
        <f t="shared" si="1"/>
        <v>#REF!</v>
      </c>
      <c r="N35" s="73" t="str">
        <f t="shared" si="3"/>
        <v/>
      </c>
      <c r="O35" s="73">
        <f t="shared" si="4"/>
        <v>6.4242681107686439E-4</v>
      </c>
      <c r="P35" s="73" t="e">
        <f t="shared" si="5"/>
        <v>#REF!</v>
      </c>
      <c r="R35" s="5" t="str">
        <f t="shared" si="6"/>
        <v/>
      </c>
      <c r="S35" s="5">
        <f t="shared" si="7"/>
        <v>44394.805709089735</v>
      </c>
      <c r="T35" s="5" t="e">
        <f t="shared" si="8"/>
        <v>#REF!</v>
      </c>
    </row>
    <row r="36" spans="1:20" s="11" customFormat="1" ht="18">
      <c r="A36" s="26">
        <v>210056</v>
      </c>
      <c r="B36" s="2" t="s">
        <v>22</v>
      </c>
      <c r="C36" s="6">
        <f>VLOOKUP(A36,Revenue!$A$2:$C$47,3,0)</f>
        <v>180861011.49427712</v>
      </c>
      <c r="D36" s="6" t="str">
        <f>IFERROR(VLOOKUP(A36,#REF!,10,0),"")</f>
        <v/>
      </c>
      <c r="E36" s="75" t="str">
        <f>IFERROR(VLOOKUP(A36,#REF!,14,0),"")</f>
        <v/>
      </c>
      <c r="F36" s="7">
        <f>VLOOKUP(A36,'6.MHAC Modeling Results'!$A$4:$K$49,8,0)</f>
        <v>0</v>
      </c>
      <c r="G36" s="76">
        <f t="shared" si="2"/>
        <v>0</v>
      </c>
      <c r="H36" s="50" t="e">
        <f>VLOOKUP(A36,#REF!,20,0)</f>
        <v>#REF!</v>
      </c>
      <c r="I36" s="76" t="e">
        <f>VLOOKUP(A36,#REF!,19,0)</f>
        <v>#REF!</v>
      </c>
      <c r="J36" s="52" t="e">
        <f t="shared" si="0"/>
        <v>#REF!</v>
      </c>
      <c r="K36" s="53" t="e">
        <f t="shared" si="1"/>
        <v>#REF!</v>
      </c>
      <c r="N36" s="73" t="str">
        <f t="shared" si="3"/>
        <v/>
      </c>
      <c r="O36" s="73">
        <f t="shared" si="4"/>
        <v>0</v>
      </c>
      <c r="P36" s="73" t="e">
        <f t="shared" si="5"/>
        <v>#REF!</v>
      </c>
      <c r="R36" s="5" t="str">
        <f t="shared" si="6"/>
        <v/>
      </c>
      <c r="S36" s="5">
        <f t="shared" si="7"/>
        <v>0</v>
      </c>
      <c r="T36" s="5" t="e">
        <f t="shared" si="8"/>
        <v>#REF!</v>
      </c>
    </row>
    <row r="37" spans="1:20" ht="18">
      <c r="A37" s="26">
        <v>210027</v>
      </c>
      <c r="B37" s="2" t="s">
        <v>37</v>
      </c>
      <c r="C37" s="6">
        <f>VLOOKUP(A37,Revenue!$A$2:$C$47,3,0)</f>
        <v>184484265.97300443</v>
      </c>
      <c r="D37" s="6" t="str">
        <f>IFERROR(VLOOKUP(A37,#REF!,10,0),"")</f>
        <v/>
      </c>
      <c r="E37" s="75" t="str">
        <f>IFERROR(VLOOKUP(A37,#REF!,14,0),"")</f>
        <v/>
      </c>
      <c r="F37" s="7">
        <f>VLOOKUP(A37,'6.MHAC Modeling Results'!$A$4:$K$49,8,0)</f>
        <v>-592588.19341447426</v>
      </c>
      <c r="G37" s="76">
        <f t="shared" si="2"/>
        <v>-3.2121340553843635E-3</v>
      </c>
      <c r="H37" s="50" t="e">
        <f>VLOOKUP(A37,#REF!,20,0)</f>
        <v>#REF!</v>
      </c>
      <c r="I37" s="76" t="e">
        <f>VLOOKUP(A37,#REF!,19,0)</f>
        <v>#REF!</v>
      </c>
      <c r="J37" s="52" t="e">
        <f t="shared" si="0"/>
        <v>#REF!</v>
      </c>
      <c r="K37" s="53" t="e">
        <f t="shared" si="1"/>
        <v>#REF!</v>
      </c>
      <c r="N37" s="73" t="str">
        <f t="shared" si="3"/>
        <v/>
      </c>
      <c r="O37" s="73">
        <f t="shared" si="4"/>
        <v>3.2121340553843635E-3</v>
      </c>
      <c r="P37" s="73" t="e">
        <f t="shared" si="5"/>
        <v>#REF!</v>
      </c>
      <c r="R37" s="5" t="str">
        <f t="shared" si="6"/>
        <v/>
      </c>
      <c r="S37" s="5">
        <f t="shared" si="7"/>
        <v>592588.19341447426</v>
      </c>
      <c r="T37" s="5" t="e">
        <f t="shared" si="8"/>
        <v>#REF!</v>
      </c>
    </row>
    <row r="38" spans="1:20" ht="18">
      <c r="A38" s="26">
        <v>210061</v>
      </c>
      <c r="B38" s="2" t="s">
        <v>23</v>
      </c>
      <c r="C38" s="6">
        <f>VLOOKUP(A38,Revenue!$A$2:$C$47,3,0)</f>
        <v>38640762.060988352</v>
      </c>
      <c r="D38" s="6" t="str">
        <f>IFERROR(VLOOKUP(A38,#REF!,10,0),"")</f>
        <v/>
      </c>
      <c r="E38" s="75" t="str">
        <f>IFERROR(VLOOKUP(A38,#REF!,14,0),"")</f>
        <v/>
      </c>
      <c r="F38" s="7">
        <f>VLOOKUP(A38,'6.MHAC Modeling Results'!$A$4:$K$49,8,0)</f>
        <v>0</v>
      </c>
      <c r="G38" s="76">
        <f t="shared" si="2"/>
        <v>0</v>
      </c>
      <c r="H38" s="50" t="e">
        <f>VLOOKUP(A38,#REF!,20,0)</f>
        <v>#REF!</v>
      </c>
      <c r="I38" s="76" t="e">
        <f>VLOOKUP(A38,#REF!,19,0)</f>
        <v>#REF!</v>
      </c>
      <c r="J38" s="52" t="e">
        <f t="shared" si="0"/>
        <v>#REF!</v>
      </c>
      <c r="K38" s="53" t="e">
        <f t="shared" si="1"/>
        <v>#REF!</v>
      </c>
      <c r="N38" s="73" t="str">
        <f t="shared" si="3"/>
        <v/>
      </c>
      <c r="O38" s="73">
        <f t="shared" si="4"/>
        <v>0</v>
      </c>
      <c r="P38" s="73" t="e">
        <f t="shared" si="5"/>
        <v>#REF!</v>
      </c>
      <c r="R38" s="5" t="str">
        <f t="shared" si="6"/>
        <v/>
      </c>
      <c r="S38" s="5">
        <f t="shared" si="7"/>
        <v>0</v>
      </c>
      <c r="T38" s="5" t="e">
        <f t="shared" si="8"/>
        <v>#REF!</v>
      </c>
    </row>
    <row r="39" spans="1:20" ht="18">
      <c r="A39" s="26">
        <v>210045</v>
      </c>
      <c r="B39" s="2" t="s">
        <v>86</v>
      </c>
      <c r="C39" s="6">
        <f>VLOOKUP(A39,Revenue!$A$2:$C$47,3,0)</f>
        <v>3734618.2392469109</v>
      </c>
      <c r="D39" s="6" t="str">
        <f>IFERROR(VLOOKUP(A39,#REF!,10,0),"")</f>
        <v/>
      </c>
      <c r="E39" s="75" t="str">
        <f>IFERROR(VLOOKUP(A39,#REF!,14,0),"")</f>
        <v/>
      </c>
      <c r="F39" s="7">
        <f>VLOOKUP(A39,'6.MHAC Modeling Results'!$A$4:$K$49,8,0)</f>
        <v>0</v>
      </c>
      <c r="G39" s="76">
        <f t="shared" si="2"/>
        <v>0</v>
      </c>
      <c r="H39" s="50" t="e">
        <f>VLOOKUP(A39,#REF!,20,0)</f>
        <v>#REF!</v>
      </c>
      <c r="I39" s="76" t="e">
        <f>VLOOKUP(A39,#REF!,19,0)</f>
        <v>#REF!</v>
      </c>
      <c r="J39" s="52" t="e">
        <f t="shared" si="0"/>
        <v>#REF!</v>
      </c>
      <c r="K39" s="53" t="e">
        <f t="shared" si="1"/>
        <v>#REF!</v>
      </c>
      <c r="N39" s="73" t="str">
        <f t="shared" si="3"/>
        <v/>
      </c>
      <c r="O39" s="73">
        <f t="shared" si="4"/>
        <v>0</v>
      </c>
      <c r="P39" s="73" t="e">
        <f t="shared" si="5"/>
        <v>#REF!</v>
      </c>
      <c r="R39" s="5" t="str">
        <f t="shared" si="6"/>
        <v/>
      </c>
      <c r="S39" s="5">
        <f t="shared" si="7"/>
        <v>0</v>
      </c>
      <c r="T39" s="5" t="e">
        <f t="shared" si="8"/>
        <v>#REF!</v>
      </c>
    </row>
    <row r="40" spans="1:20" ht="18">
      <c r="A40" s="26">
        <v>210008</v>
      </c>
      <c r="B40" s="2" t="s">
        <v>38</v>
      </c>
      <c r="C40" s="6">
        <f>VLOOKUP(A40,Revenue!$A$2:$C$47,3,0)</f>
        <v>233163593.66479388</v>
      </c>
      <c r="D40" s="6" t="str">
        <f>IFERROR(VLOOKUP(A40,#REF!,10,0),"")</f>
        <v/>
      </c>
      <c r="E40" s="75" t="str">
        <f>IFERROR(VLOOKUP(A40,#REF!,14,0),"")</f>
        <v/>
      </c>
      <c r="F40" s="7">
        <f>VLOOKUP(A40,'6.MHAC Modeling Results'!$A$4:$K$49,8,0)</f>
        <v>-823847.99165513506</v>
      </c>
      <c r="G40" s="76">
        <f t="shared" si="2"/>
        <v>-3.5333474609228008E-3</v>
      </c>
      <c r="H40" s="50" t="e">
        <f>VLOOKUP(A40,#REF!,20,0)</f>
        <v>#REF!</v>
      </c>
      <c r="I40" s="76" t="e">
        <f>VLOOKUP(A40,#REF!,19,0)</f>
        <v>#REF!</v>
      </c>
      <c r="J40" s="52" t="e">
        <f t="shared" si="0"/>
        <v>#REF!</v>
      </c>
      <c r="K40" s="53" t="e">
        <f t="shared" si="1"/>
        <v>#REF!</v>
      </c>
      <c r="N40" s="73" t="str">
        <f t="shared" si="3"/>
        <v/>
      </c>
      <c r="O40" s="73">
        <f t="shared" si="4"/>
        <v>3.5333474609228008E-3</v>
      </c>
      <c r="P40" s="73" t="e">
        <f t="shared" si="5"/>
        <v>#REF!</v>
      </c>
      <c r="R40" s="5" t="str">
        <f t="shared" si="6"/>
        <v/>
      </c>
      <c r="S40" s="5">
        <f t="shared" si="7"/>
        <v>823847.99165513506</v>
      </c>
      <c r="T40" s="5" t="e">
        <f t="shared" si="8"/>
        <v>#REF!</v>
      </c>
    </row>
    <row r="41" spans="1:20" ht="18">
      <c r="A41" s="26">
        <v>210035</v>
      </c>
      <c r="B41" s="2" t="s">
        <v>26</v>
      </c>
      <c r="C41" s="6">
        <f>VLOOKUP(A41,Revenue!$A$2:$C$47,3,0)</f>
        <v>76338049.290417254</v>
      </c>
      <c r="D41" s="6" t="str">
        <f>IFERROR(VLOOKUP(A41,#REF!,10,0),"")</f>
        <v/>
      </c>
      <c r="E41" s="75" t="str">
        <f>IFERROR(VLOOKUP(A41,#REF!,14,0),"")</f>
        <v/>
      </c>
      <c r="F41" s="7">
        <f>VLOOKUP(A41,'6.MHAC Modeling Results'!$A$4:$K$49,8,0)</f>
        <v>0</v>
      </c>
      <c r="G41" s="76">
        <f t="shared" si="2"/>
        <v>0</v>
      </c>
      <c r="H41" s="50" t="e">
        <f>VLOOKUP(A41,#REF!,20,0)</f>
        <v>#REF!</v>
      </c>
      <c r="I41" s="76" t="e">
        <f>VLOOKUP(A41,#REF!,19,0)</f>
        <v>#REF!</v>
      </c>
      <c r="J41" s="52" t="e">
        <f t="shared" si="0"/>
        <v>#REF!</v>
      </c>
      <c r="K41" s="53" t="e">
        <f t="shared" si="1"/>
        <v>#REF!</v>
      </c>
      <c r="N41" s="73" t="str">
        <f t="shared" si="3"/>
        <v/>
      </c>
      <c r="O41" s="73">
        <f t="shared" si="4"/>
        <v>0</v>
      </c>
      <c r="P41" s="73" t="e">
        <f t="shared" si="5"/>
        <v>#REF!</v>
      </c>
      <c r="R41" s="5" t="str">
        <f t="shared" si="6"/>
        <v/>
      </c>
      <c r="S41" s="5">
        <f t="shared" si="7"/>
        <v>0</v>
      </c>
      <c r="T41" s="5" t="e">
        <f t="shared" si="8"/>
        <v>#REF!</v>
      </c>
    </row>
    <row r="42" spans="1:20" ht="18">
      <c r="A42" s="26">
        <v>210032</v>
      </c>
      <c r="B42" s="2" t="s">
        <v>28</v>
      </c>
      <c r="C42" s="6">
        <f>VLOOKUP(A42,Revenue!$A$2:$C$47,3,0)</f>
        <v>67852188.547545061</v>
      </c>
      <c r="D42" s="6" t="str">
        <f>IFERROR(VLOOKUP(A42,#REF!,10,0),"")</f>
        <v/>
      </c>
      <c r="E42" s="75" t="str">
        <f>IFERROR(VLOOKUP(A42,#REF!,14,0),"")</f>
        <v/>
      </c>
      <c r="F42" s="7">
        <f>VLOOKUP(A42,'6.MHAC Modeling Results'!$A$4:$K$49,8,0)</f>
        <v>0</v>
      </c>
      <c r="G42" s="76">
        <f t="shared" si="2"/>
        <v>0</v>
      </c>
      <c r="H42" s="50" t="e">
        <f>VLOOKUP(A42,#REF!,20,0)</f>
        <v>#REF!</v>
      </c>
      <c r="I42" s="76" t="e">
        <f>VLOOKUP(A42,#REF!,19,0)</f>
        <v>#REF!</v>
      </c>
      <c r="J42" s="52" t="e">
        <f t="shared" si="0"/>
        <v>#REF!</v>
      </c>
      <c r="K42" s="53" t="e">
        <f t="shared" si="1"/>
        <v>#REF!</v>
      </c>
      <c r="N42" s="73" t="str">
        <f t="shared" si="3"/>
        <v/>
      </c>
      <c r="O42" s="73">
        <f t="shared" si="4"/>
        <v>0</v>
      </c>
      <c r="P42" s="73" t="e">
        <f t="shared" si="5"/>
        <v>#REF!</v>
      </c>
      <c r="R42" s="5" t="str">
        <f t="shared" si="6"/>
        <v/>
      </c>
      <c r="S42" s="5">
        <f t="shared" si="7"/>
        <v>0</v>
      </c>
      <c r="T42" s="5" t="e">
        <f t="shared" si="8"/>
        <v>#REF!</v>
      </c>
    </row>
    <row r="43" spans="1:20" s="11" customFormat="1" ht="18">
      <c r="A43" s="26">
        <v>210039</v>
      </c>
      <c r="B43" s="2" t="s">
        <v>30</v>
      </c>
      <c r="C43" s="6">
        <f>VLOOKUP(A43,Revenue!$A$2:$C$47,3,0)</f>
        <v>67385286.839919657</v>
      </c>
      <c r="D43" s="6" t="str">
        <f>IFERROR(VLOOKUP(A43,#REF!,10,0),"")</f>
        <v/>
      </c>
      <c r="E43" s="75" t="str">
        <f>IFERROR(VLOOKUP(A43,#REF!,14,0),"")</f>
        <v/>
      </c>
      <c r="F43" s="7">
        <f>VLOOKUP(A43,'6.MHAC Modeling Results'!$A$4:$K$49,8,0)</f>
        <v>0</v>
      </c>
      <c r="G43" s="76">
        <f t="shared" si="2"/>
        <v>0</v>
      </c>
      <c r="H43" s="50" t="e">
        <f>VLOOKUP(A43,#REF!,20,0)</f>
        <v>#REF!</v>
      </c>
      <c r="I43" s="76" t="e">
        <f>VLOOKUP(A43,#REF!,19,0)</f>
        <v>#REF!</v>
      </c>
      <c r="J43" s="52" t="e">
        <f t="shared" si="0"/>
        <v>#REF!</v>
      </c>
      <c r="K43" s="53" t="e">
        <f t="shared" si="1"/>
        <v>#REF!</v>
      </c>
      <c r="N43" s="73" t="str">
        <f t="shared" si="3"/>
        <v/>
      </c>
      <c r="O43" s="73">
        <f t="shared" si="4"/>
        <v>0</v>
      </c>
      <c r="P43" s="73" t="e">
        <f t="shared" si="5"/>
        <v>#REF!</v>
      </c>
      <c r="R43" s="5" t="str">
        <f t="shared" si="6"/>
        <v/>
      </c>
      <c r="S43" s="5">
        <f t="shared" si="7"/>
        <v>0</v>
      </c>
      <c r="T43" s="5" t="e">
        <f t="shared" si="8"/>
        <v>#REF!</v>
      </c>
    </row>
    <row r="44" spans="1:20" ht="18">
      <c r="A44" s="26">
        <v>210030</v>
      </c>
      <c r="B44" s="2" t="s">
        <v>35</v>
      </c>
      <c r="C44" s="6">
        <f>VLOOKUP(A44,Revenue!$A$2:$C$47,3,0)</f>
        <v>29416674.305924561</v>
      </c>
      <c r="D44" s="6" t="str">
        <f>IFERROR(VLOOKUP(A44,#REF!,10,0),"")</f>
        <v/>
      </c>
      <c r="E44" s="75" t="str">
        <f>IFERROR(VLOOKUP(A44,#REF!,14,0),"")</f>
        <v/>
      </c>
      <c r="F44" s="7">
        <f>VLOOKUP(A44,'6.MHAC Modeling Results'!$A$4:$K$49,8,0)</f>
        <v>0</v>
      </c>
      <c r="G44" s="76">
        <f t="shared" si="2"/>
        <v>0</v>
      </c>
      <c r="H44" s="50" t="e">
        <f>VLOOKUP(A44,#REF!,20,0)</f>
        <v>#REF!</v>
      </c>
      <c r="I44" s="76" t="e">
        <f>VLOOKUP(A44,#REF!,19,0)</f>
        <v>#REF!</v>
      </c>
      <c r="J44" s="52" t="e">
        <f t="shared" si="0"/>
        <v>#REF!</v>
      </c>
      <c r="K44" s="53" t="e">
        <f t="shared" si="1"/>
        <v>#REF!</v>
      </c>
      <c r="N44" s="73" t="str">
        <f t="shared" si="3"/>
        <v/>
      </c>
      <c r="O44" s="73">
        <f t="shared" si="4"/>
        <v>0</v>
      </c>
      <c r="P44" s="73" t="e">
        <f t="shared" si="5"/>
        <v>#REF!</v>
      </c>
      <c r="R44" s="5" t="str">
        <f t="shared" si="6"/>
        <v/>
      </c>
      <c r="S44" s="5">
        <f t="shared" si="7"/>
        <v>0</v>
      </c>
      <c r="T44" s="5" t="e">
        <f t="shared" si="8"/>
        <v>#REF!</v>
      </c>
    </row>
    <row r="45" spans="1:20" ht="18">
      <c r="A45" s="26">
        <v>210006</v>
      </c>
      <c r="B45" s="2" t="s">
        <v>41</v>
      </c>
      <c r="C45" s="6">
        <f>VLOOKUP(A45,Revenue!$A$2:$C$47,3,0)</f>
        <v>47089618.293410309</v>
      </c>
      <c r="D45" s="6" t="str">
        <f>IFERROR(VLOOKUP(A45,#REF!,10,0),"")</f>
        <v/>
      </c>
      <c r="E45" s="75" t="str">
        <f>IFERROR(VLOOKUP(A45,#REF!,14,0),"")</f>
        <v/>
      </c>
      <c r="F45" s="7">
        <f>VLOOKUP(A45,'6.MHAC Modeling Results'!$A$4:$K$49,8,0)</f>
        <v>-30251.633315062361</v>
      </c>
      <c r="G45" s="76">
        <f t="shared" si="2"/>
        <v>-6.4242681107686439E-4</v>
      </c>
      <c r="H45" s="50" t="e">
        <f>VLOOKUP(A45,#REF!,20,0)</f>
        <v>#REF!</v>
      </c>
      <c r="I45" s="76" t="e">
        <f>VLOOKUP(A45,#REF!,19,0)</f>
        <v>#REF!</v>
      </c>
      <c r="J45" s="52" t="e">
        <f t="shared" si="0"/>
        <v>#REF!</v>
      </c>
      <c r="K45" s="53" t="e">
        <f t="shared" si="1"/>
        <v>#REF!</v>
      </c>
      <c r="N45" s="73" t="str">
        <f t="shared" si="3"/>
        <v/>
      </c>
      <c r="O45" s="73">
        <f t="shared" si="4"/>
        <v>6.4242681107686439E-4</v>
      </c>
      <c r="P45" s="73" t="e">
        <f t="shared" si="5"/>
        <v>#REF!</v>
      </c>
      <c r="R45" s="5" t="str">
        <f t="shared" si="6"/>
        <v/>
      </c>
      <c r="S45" s="5">
        <f t="shared" si="7"/>
        <v>30251.633315062361</v>
      </c>
      <c r="T45" s="5" t="e">
        <f t="shared" si="8"/>
        <v>#REF!</v>
      </c>
    </row>
    <row r="46" spans="1:20" ht="18">
      <c r="A46" s="26">
        <v>210017</v>
      </c>
      <c r="B46" s="2" t="s">
        <v>39</v>
      </c>
      <c r="C46" s="6">
        <f>VLOOKUP(A46,Revenue!$A$2:$C$47,3,0)</f>
        <v>18724073.644907132</v>
      </c>
      <c r="D46" s="6" t="str">
        <f>IFERROR(VLOOKUP(A46,#REF!,10,0),"")</f>
        <v/>
      </c>
      <c r="E46" s="75" t="str">
        <f>IFERROR(VLOOKUP(A46,#REF!,14,0),"")</f>
        <v/>
      </c>
      <c r="F46" s="7">
        <f>VLOOKUP(A46,'6.MHAC Modeling Results'!$A$4:$K$49,8,0)</f>
        <v>0</v>
      </c>
      <c r="G46" s="76">
        <f t="shared" si="2"/>
        <v>0</v>
      </c>
      <c r="H46" s="50" t="e">
        <f>VLOOKUP(A46,#REF!,20,0)</f>
        <v>#REF!</v>
      </c>
      <c r="I46" s="76" t="e">
        <f>VLOOKUP(A46,#REF!,19,0)</f>
        <v>#REF!</v>
      </c>
      <c r="J46" s="52" t="e">
        <f t="shared" si="0"/>
        <v>#REF!</v>
      </c>
      <c r="K46" s="53" t="e">
        <f t="shared" si="1"/>
        <v>#REF!</v>
      </c>
      <c r="N46" s="73" t="str">
        <f t="shared" si="3"/>
        <v/>
      </c>
      <c r="O46" s="73">
        <f t="shared" si="4"/>
        <v>0</v>
      </c>
      <c r="P46" s="73" t="e">
        <f t="shared" si="5"/>
        <v>#REF!</v>
      </c>
      <c r="R46" s="5" t="str">
        <f t="shared" si="6"/>
        <v/>
      </c>
      <c r="S46" s="5">
        <f t="shared" si="7"/>
        <v>0</v>
      </c>
      <c r="T46" s="5" t="e">
        <f t="shared" si="8"/>
        <v>#REF!</v>
      </c>
    </row>
    <row r="47" spans="1:20" s="11" customFormat="1" ht="18.600000000000001" thickBot="1">
      <c r="A47" s="27">
        <v>210028</v>
      </c>
      <c r="B47" s="3" t="s">
        <v>44</v>
      </c>
      <c r="C47" s="6">
        <f>VLOOKUP(A47,Revenue!$A$2:$C$47,3,0)</f>
        <v>69520305.288439929</v>
      </c>
      <c r="D47" s="6" t="str">
        <f>IFERROR(VLOOKUP(A47,#REF!,10,0),"")</f>
        <v/>
      </c>
      <c r="E47" s="75" t="str">
        <f>IFERROR(VLOOKUP(A47,#REF!,14,0),"")</f>
        <v/>
      </c>
      <c r="F47" s="7">
        <f>VLOOKUP(A47,'6.MHAC Modeling Results'!$A$4:$K$49,8,0)</f>
        <v>0</v>
      </c>
      <c r="G47" s="76">
        <f>VLOOKUP(A47,'6.MHAC Modeling Results'!$A$4:$K$49,6,0)</f>
        <v>0</v>
      </c>
      <c r="H47" s="50" t="e">
        <f>VLOOKUP(A47,#REF!,20,0)</f>
        <v>#REF!</v>
      </c>
      <c r="I47" s="76" t="e">
        <f>VLOOKUP(A47,#REF!,19,0)</f>
        <v>#REF!</v>
      </c>
      <c r="J47" s="52" t="e">
        <f t="shared" si="0"/>
        <v>#REF!</v>
      </c>
      <c r="K47" s="54" t="e">
        <f t="shared" si="1"/>
        <v>#REF!</v>
      </c>
      <c r="N47" s="73" t="str">
        <f t="shared" si="3"/>
        <v/>
      </c>
      <c r="O47" s="73">
        <f t="shared" si="4"/>
        <v>0</v>
      </c>
      <c r="P47" s="73" t="e">
        <f t="shared" si="5"/>
        <v>#REF!</v>
      </c>
      <c r="R47" s="5" t="str">
        <f t="shared" si="6"/>
        <v/>
      </c>
      <c r="S47" s="5">
        <f t="shared" si="7"/>
        <v>0</v>
      </c>
      <c r="T47" s="5" t="e">
        <f t="shared" si="8"/>
        <v>#REF!</v>
      </c>
    </row>
    <row r="48" spans="1:20" ht="18" thickBot="1">
      <c r="A48" s="8"/>
      <c r="B48" s="9" t="s">
        <v>45</v>
      </c>
      <c r="C48" s="48">
        <f>SUM(C2:C47)</f>
        <v>8961031432.2934761</v>
      </c>
      <c r="D48" s="4">
        <f>SUM(D2:D46)</f>
        <v>0</v>
      </c>
      <c r="E48" s="4"/>
      <c r="F48" s="4">
        <f>SUM(F2:F47)</f>
        <v>-44805157.161467373</v>
      </c>
      <c r="G48" s="74"/>
      <c r="H48" s="10" t="e">
        <f>SUM(H2:H47)</f>
        <v>#REF!</v>
      </c>
      <c r="I48" s="10"/>
      <c r="J48" s="10" t="e">
        <f>SUM(J2:J47)</f>
        <v>#REF!</v>
      </c>
      <c r="K48" s="55" t="e">
        <f t="shared" si="1"/>
        <v>#REF!</v>
      </c>
    </row>
  </sheetData>
  <sortState ref="A2:K47">
    <sortCondition ref="K2:K47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287D429-6814-4446-875D-66B1BE592E10}"/>
</file>

<file path=customXml/itemProps2.xml><?xml version="1.0" encoding="utf-8"?>
<ds:datastoreItem xmlns:ds="http://schemas.openxmlformats.org/officeDocument/2006/customXml" ds:itemID="{7BE33EF2-6EF0-43BE-8FF3-DF3EC32E79C3}"/>
</file>

<file path=customXml/itemProps3.xml><?xml version="1.0" encoding="utf-8"?>
<ds:datastoreItem xmlns:ds="http://schemas.openxmlformats.org/officeDocument/2006/customXml" ds:itemID="{4E0E780A-21FD-4D6E-9FFF-4035D9D8C8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1.Readmission Scaling</vt:lpstr>
      <vt:lpstr>2.RRIP Modeling Results</vt:lpstr>
      <vt:lpstr>3.QBR Scaling </vt:lpstr>
      <vt:lpstr>4.QBR Modeling Results</vt:lpstr>
      <vt:lpstr>5.MHAC Scaling</vt:lpstr>
      <vt:lpstr>6.MHAC Modeling Results</vt:lpstr>
      <vt:lpstr>7Aggregate Summary</vt:lpstr>
      <vt:lpstr>8.Consolidated</vt:lpstr>
      <vt:lpstr>Summary Results for all 3 progr</vt:lpstr>
      <vt:lpstr>Revenue</vt:lpstr>
      <vt:lpstr>'2.RRIP Modeling Results'!Print_Area</vt:lpstr>
      <vt:lpstr>'4.QBR Modeling Results'!Print_Titles</vt:lpstr>
      <vt:lpstr>'6.MHAC Modeling Results'!Print_Titles</vt:lpstr>
      <vt:lpstr>'8.Consolidated'!Print_Titles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Elizabeth Haile</dc:creator>
  <cp:lastModifiedBy>Sule Calikoglu</cp:lastModifiedBy>
  <cp:lastPrinted>2015-01-29T21:23:00Z</cp:lastPrinted>
  <dcterms:created xsi:type="dcterms:W3CDTF">2015-01-15T15:13:06Z</dcterms:created>
  <dcterms:modified xsi:type="dcterms:W3CDTF">2015-01-29T21:30:48Z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